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XBASI\AppData\Local\Microsoft\Windows\INetCache\Content.Outlook\1GSSHWTI\"/>
    </mc:Choice>
  </mc:AlternateContent>
  <workbookProtection lockStructure="1"/>
  <bookViews>
    <workbookView xWindow="-13" yWindow="3430" windowWidth="19060" windowHeight="11114" tabRatio="850" activeTab="2"/>
  </bookViews>
  <sheets>
    <sheet name="Instructions" sheetId="26" r:id="rId1"/>
    <sheet name="Customer Information" sheetId="21" r:id="rId2"/>
    <sheet name="Rebate Information (Rooftops)" sheetId="2" r:id="rId3"/>
    <sheet name="Rebate Information (Chillers-W)" sheetId="23" r:id="rId4"/>
    <sheet name="Rebate Information (Chillers-A)" sheetId="24" r:id="rId5"/>
    <sheet name="Rooftop Savings" sheetId="10" r:id="rId6"/>
    <sheet name="Rebate Information (Chillers)1" sheetId="3" state="hidden" r:id="rId7"/>
    <sheet name="Water Cooled Chillers Savings" sheetId="22" r:id="rId8"/>
    <sheet name="Air Cooled Chillers Savings" sheetId="25" r:id="rId9"/>
    <sheet name="Financial Summary" sheetId="11" r:id="rId10"/>
    <sheet name="Terms and Conditions" sheetId="27" r:id="rId11"/>
    <sheet name="Terms and Conditions -hide" sheetId="5" state="hidden" r:id="rId12"/>
    <sheet name="List_Codes_hide" sheetId="13" state="hidden" r:id="rId13"/>
    <sheet name="Revision Log" sheetId="7" state="hidden" r:id="rId14"/>
  </sheets>
  <definedNames>
    <definedName name="_Key1" localSheetId="8" hidden="1">#REF!</definedName>
    <definedName name="_Key1" localSheetId="4" hidden="1">#REF!</definedName>
    <definedName name="_Key1" localSheetId="3" hidden="1">#REF!</definedName>
    <definedName name="_Key1" hidden="1">#REF!</definedName>
    <definedName name="_Order1" hidden="1">255</definedName>
    <definedName name="_Sort" localSheetId="8" hidden="1">#REF!</definedName>
    <definedName name="_Sort" localSheetId="4" hidden="1">#REF!</definedName>
    <definedName name="_Sort" localSheetId="3" hidden="1">#REF!</definedName>
    <definedName name="_Sort" hidden="1">#REF!</definedName>
    <definedName name="AirChillerTotal">'Rebate Information (Chillers-A)'!$U$20</definedName>
    <definedName name="Bonus_Incentive">List_Codes_hide!#REF!</definedName>
    <definedName name="ContractorAddress" localSheetId="1">'Customer Information'!$B$53</definedName>
    <definedName name="ContractorCity" localSheetId="1">'Customer Information'!$G$53</definedName>
    <definedName name="ContractorContact" localSheetId="1">'Customer Information'!$B$56</definedName>
    <definedName name="ContractorEmail" localSheetId="1">'Customer Information'!$B$59</definedName>
    <definedName name="ContractorName" localSheetId="1">'Customer Information'!$B$50</definedName>
    <definedName name="ContractorPhone" localSheetId="1">'Customer Information'!$I$56</definedName>
    <definedName name="ContractorState" localSheetId="1">'Customer Information'!$J$53</definedName>
    <definedName name="ContractorZip" localSheetId="1">'Customer Information'!$K$53</definedName>
    <definedName name="CustomerInstallAddress" localSheetId="1">'Customer Information'!$B$13</definedName>
    <definedName name="CustomerName" localSheetId="1">'Customer Information'!$B$10</definedName>
    <definedName name="Efficiencies">List_Codes_hide!#REF!</definedName>
    <definedName name="Efficiencies_2">List_Codes_hide!#REF!</definedName>
    <definedName name="Hours">List_Codes_hide!#REF!</definedName>
    <definedName name="Incentive_Bonus">List_Codes_hide!#REF!</definedName>
    <definedName name="Incentive_Bonus_2">List_Codes_hide!#REF!</definedName>
    <definedName name="Incentive_ton">List_Codes_hide!#REF!</definedName>
    <definedName name="Incentive_Ton_2">List_Codes_hide!#REF!</definedName>
    <definedName name="kw_ton">List_Codes_hide!$F$4:$F$26</definedName>
    <definedName name="Manufacturers">List_Codes_hide!#REF!</definedName>
    <definedName name="PC_Main">[0]!PC_Main</definedName>
    <definedName name="_xlnm.Print_Area" localSheetId="1">'Customer Information'!$A$1:$L$70</definedName>
    <definedName name="_xlnm.Print_Area" localSheetId="9">'Financial Summary'!$A$1:$K$50</definedName>
    <definedName name="_xlnm.Print_Area" localSheetId="0">Instructions!$A$1:$N$74</definedName>
    <definedName name="_xlnm.Print_Area" localSheetId="4">'Rebate Information (Chillers-A)'!$A$1:$V$45</definedName>
    <definedName name="_xlnm.Print_Area" localSheetId="3">'Rebate Information (Chillers-W)'!$A$1:$V$56</definedName>
    <definedName name="_xlnm.Print_Area" localSheetId="2">'Rebate Information (Rooftops)'!$A$1:$T$48</definedName>
    <definedName name="_xlnm.Print_Area" localSheetId="5">'Rooftop Savings'!$A$1:$M$27</definedName>
    <definedName name="_xlnm.Print_Area" localSheetId="10">'Terms and Conditions'!$A$1:$N$80</definedName>
    <definedName name="_xlnm.Print_Area" localSheetId="11">'Terms and Conditions -hide'!$A$1:$K$62</definedName>
    <definedName name="Qualifying">List_Codes_hide!#REF!</definedName>
    <definedName name="Quantity">List_Codes_hide!$E$4:$E$23</definedName>
    <definedName name="RooftopTotal">'Rebate Information (Rooftops)'!$T$18</definedName>
    <definedName name="SEER_EER">List_Codes_hide!$D$4:$D$85</definedName>
    <definedName name="Tons">List_Codes_hide!$B$4:$B$152</definedName>
    <definedName name="Tons_2">List_Codes_hide!$C$4:$C$12</definedName>
    <definedName name="Unit_Code_ChillersA">List_Codes_hide!$H$4:$H$7</definedName>
    <definedName name="Unit_Code_ChillersW">List_Codes_hide!$G$4:$G$19</definedName>
    <definedName name="Unit_Code_RTU">'Rebate Information (Rooftops)'!$A$22:$A$31</definedName>
    <definedName name="WaterChillerTotal">'Rebate Information (Chillers-W)'!$U$20</definedName>
  </definedNames>
  <calcPr calcId="162913"/>
</workbook>
</file>

<file path=xl/calcChain.xml><?xml version="1.0" encoding="utf-8"?>
<calcChain xmlns="http://schemas.openxmlformats.org/spreadsheetml/2006/main">
  <c r="I13" i="2" l="1"/>
  <c r="I11" i="2"/>
  <c r="T12" i="2" l="1"/>
  <c r="T14" i="2"/>
  <c r="T15" i="2"/>
  <c r="T16" i="2"/>
  <c r="T17" i="2"/>
  <c r="V11" i="23"/>
  <c r="V12" i="23"/>
  <c r="V13" i="23"/>
  <c r="V14" i="23"/>
  <c r="V15" i="23"/>
  <c r="V16" i="23"/>
  <c r="V17" i="23"/>
  <c r="V18" i="23"/>
  <c r="V19" i="23"/>
  <c r="V11" i="24" l="1"/>
  <c r="V12" i="24"/>
  <c r="V13" i="24"/>
  <c r="V14" i="24"/>
  <c r="V15" i="24"/>
  <c r="V16" i="24"/>
  <c r="V17" i="24"/>
  <c r="V18" i="24"/>
  <c r="V19" i="24"/>
  <c r="A10" i="24"/>
  <c r="T10" i="24" l="1"/>
  <c r="J10" i="24" l="1"/>
  <c r="L10" i="24"/>
  <c r="J11" i="24"/>
  <c r="L11" i="24"/>
  <c r="J12" i="24"/>
  <c r="L12" i="24"/>
  <c r="J13" i="24"/>
  <c r="L13" i="24"/>
  <c r="J10" i="23" l="1"/>
  <c r="J11" i="23"/>
  <c r="L12" i="23"/>
  <c r="Q11" i="2" l="1"/>
  <c r="O11" i="2"/>
  <c r="B7" i="24"/>
  <c r="A8" i="2"/>
  <c r="B7" i="23"/>
  <c r="X25" i="2" l="1"/>
  <c r="I12" i="2"/>
  <c r="R11" i="2"/>
  <c r="O12" i="2"/>
  <c r="R12" i="2"/>
  <c r="O13" i="2"/>
  <c r="Q13" i="2"/>
  <c r="R13" i="2"/>
  <c r="I14" i="2"/>
  <c r="O14" i="2"/>
  <c r="Q14" i="2"/>
  <c r="R14" i="2"/>
  <c r="I15" i="2"/>
  <c r="O15" i="2"/>
  <c r="Q15" i="2"/>
  <c r="S15" i="2" s="1"/>
  <c r="R15" i="2"/>
  <c r="I16" i="2"/>
  <c r="Q16" i="2" s="1"/>
  <c r="O16" i="2"/>
  <c r="R16" i="2"/>
  <c r="P14" i="2" l="1"/>
  <c r="P13" i="2"/>
  <c r="S14" i="2"/>
  <c r="P12" i="2"/>
  <c r="P16" i="2"/>
  <c r="S13" i="2"/>
  <c r="S16" i="2"/>
  <c r="P15" i="2"/>
  <c r="P11" i="2"/>
  <c r="S11" i="2"/>
  <c r="Q12" i="2"/>
  <c r="S12" i="2" s="1"/>
  <c r="T13" i="2" l="1"/>
  <c r="T11" i="2"/>
  <c r="B10" i="2"/>
  <c r="L3" i="22" l="1"/>
  <c r="R17" i="2" l="1"/>
  <c r="O17" i="2"/>
  <c r="I17" i="2"/>
  <c r="Q17" i="2" s="1"/>
  <c r="S17" i="2" l="1"/>
  <c r="P17" i="2"/>
  <c r="A1" i="27" l="1"/>
  <c r="F27" i="11"/>
  <c r="H27" i="11"/>
  <c r="G27" i="11"/>
  <c r="H22" i="22" l="1"/>
  <c r="G22" i="22"/>
  <c r="I22" i="22" s="1"/>
  <c r="F22" i="22"/>
  <c r="E22" i="22"/>
  <c r="B22" i="22"/>
  <c r="A22" i="22"/>
  <c r="H21" i="22"/>
  <c r="J21" i="22" s="1"/>
  <c r="G21" i="22"/>
  <c r="F21" i="22"/>
  <c r="E21" i="22"/>
  <c r="B21" i="22"/>
  <c r="A21" i="22"/>
  <c r="H20" i="22"/>
  <c r="G20" i="22"/>
  <c r="F20" i="22"/>
  <c r="E20" i="22"/>
  <c r="B20" i="22"/>
  <c r="A20" i="22"/>
  <c r="C20" i="22" s="1"/>
  <c r="H19" i="22"/>
  <c r="J19" i="22" s="1"/>
  <c r="G19" i="22"/>
  <c r="F19" i="22"/>
  <c r="E19" i="22"/>
  <c r="B19" i="22"/>
  <c r="A19" i="22"/>
  <c r="H18" i="22"/>
  <c r="G18" i="22"/>
  <c r="I18" i="22" s="1"/>
  <c r="F18" i="22"/>
  <c r="E18" i="22"/>
  <c r="B18" i="22"/>
  <c r="A18" i="22"/>
  <c r="C18" i="22" s="1"/>
  <c r="H17" i="22"/>
  <c r="G17" i="22"/>
  <c r="F17" i="22"/>
  <c r="E17" i="22"/>
  <c r="B17" i="22"/>
  <c r="A17" i="22"/>
  <c r="H16" i="22"/>
  <c r="G16" i="22"/>
  <c r="I16" i="22" s="1"/>
  <c r="F16" i="22"/>
  <c r="E16" i="22"/>
  <c r="B16" i="22"/>
  <c r="A16" i="22"/>
  <c r="C16" i="22" s="1"/>
  <c r="H15" i="22"/>
  <c r="G15" i="22"/>
  <c r="F15" i="22"/>
  <c r="E15" i="22"/>
  <c r="B15" i="22"/>
  <c r="A15" i="22"/>
  <c r="H14" i="22"/>
  <c r="G14" i="22"/>
  <c r="F14" i="22"/>
  <c r="E14" i="22"/>
  <c r="B14" i="22"/>
  <c r="A14" i="22"/>
  <c r="C14" i="22" s="1"/>
  <c r="H13" i="22"/>
  <c r="G13" i="22"/>
  <c r="F13" i="22"/>
  <c r="E13" i="22"/>
  <c r="A13" i="22"/>
  <c r="B13" i="22"/>
  <c r="H18" i="10"/>
  <c r="G18" i="10"/>
  <c r="I18" i="10" s="1"/>
  <c r="F18" i="10"/>
  <c r="E18" i="10"/>
  <c r="B18" i="10"/>
  <c r="A18" i="10"/>
  <c r="H17" i="10"/>
  <c r="G17" i="10"/>
  <c r="F17" i="10"/>
  <c r="E17" i="10"/>
  <c r="B17" i="10"/>
  <c r="A17" i="10"/>
  <c r="H16" i="10"/>
  <c r="G16" i="10"/>
  <c r="F16" i="10"/>
  <c r="E16" i="10"/>
  <c r="B16" i="10"/>
  <c r="A16" i="10"/>
  <c r="H15" i="10"/>
  <c r="G15" i="10"/>
  <c r="F15" i="10"/>
  <c r="E15" i="10"/>
  <c r="B15" i="10"/>
  <c r="A15" i="10"/>
  <c r="H14" i="10"/>
  <c r="G14" i="10"/>
  <c r="F14" i="10"/>
  <c r="E14" i="10"/>
  <c r="B14" i="10"/>
  <c r="A14" i="10"/>
  <c r="H13" i="10"/>
  <c r="G13" i="10"/>
  <c r="F13" i="10"/>
  <c r="E13" i="10"/>
  <c r="B13" i="10"/>
  <c r="A13" i="10"/>
  <c r="H12" i="10"/>
  <c r="G12" i="10"/>
  <c r="E12" i="10"/>
  <c r="B12" i="10"/>
  <c r="A12" i="10"/>
  <c r="I13" i="22" l="1"/>
  <c r="I17" i="10"/>
  <c r="J13" i="10"/>
  <c r="I14" i="10"/>
  <c r="C16" i="10"/>
  <c r="J17" i="10"/>
  <c r="J13" i="22"/>
  <c r="J15" i="22"/>
  <c r="J17" i="22"/>
  <c r="D14" i="22"/>
  <c r="I13" i="10"/>
  <c r="D15" i="10"/>
  <c r="I15" i="10"/>
  <c r="C18" i="10"/>
  <c r="K18" i="10" s="1"/>
  <c r="J14" i="22"/>
  <c r="J16" i="22"/>
  <c r="J18" i="22"/>
  <c r="J20" i="22"/>
  <c r="J22" i="22"/>
  <c r="I19" i="22"/>
  <c r="C15" i="22"/>
  <c r="D15" i="22" s="1"/>
  <c r="L15" i="22" s="1"/>
  <c r="I15" i="22"/>
  <c r="D18" i="10"/>
  <c r="D17" i="10"/>
  <c r="J16" i="10"/>
  <c r="D16" i="10"/>
  <c r="C15" i="10"/>
  <c r="J15" i="10"/>
  <c r="L15" i="10" s="1"/>
  <c r="D14" i="10"/>
  <c r="J14" i="10"/>
  <c r="D13" i="10"/>
  <c r="L13" i="10" s="1"/>
  <c r="C13" i="10"/>
  <c r="D16" i="22"/>
  <c r="C22" i="22"/>
  <c r="D22" i="22" s="1"/>
  <c r="I21" i="22"/>
  <c r="I14" i="22"/>
  <c r="K14" i="22" s="1"/>
  <c r="C17" i="22"/>
  <c r="D17" i="22" s="1"/>
  <c r="L17" i="22" s="1"/>
  <c r="I17" i="22"/>
  <c r="C19" i="22"/>
  <c r="D19" i="22" s="1"/>
  <c r="L19" i="22" s="1"/>
  <c r="C21" i="22"/>
  <c r="D21" i="22" s="1"/>
  <c r="L21" i="22" s="1"/>
  <c r="C13" i="22"/>
  <c r="K22" i="22"/>
  <c r="D20" i="22"/>
  <c r="I20" i="22"/>
  <c r="K20" i="22" s="1"/>
  <c r="D18" i="22"/>
  <c r="L18" i="22" s="1"/>
  <c r="K18" i="22"/>
  <c r="K16" i="22"/>
  <c r="J18" i="10"/>
  <c r="L18" i="10" s="1"/>
  <c r="C17" i="10"/>
  <c r="K17" i="10" s="1"/>
  <c r="I16" i="10"/>
  <c r="C14" i="10"/>
  <c r="C12" i="10"/>
  <c r="D12" i="10"/>
  <c r="T19" i="24"/>
  <c r="R19" i="24"/>
  <c r="T18" i="24"/>
  <c r="R18" i="24"/>
  <c r="T17" i="24"/>
  <c r="R17" i="24"/>
  <c r="T16" i="24"/>
  <c r="R16" i="24"/>
  <c r="T15" i="24"/>
  <c r="R15" i="24"/>
  <c r="T14" i="24"/>
  <c r="R14" i="24"/>
  <c r="T13" i="24"/>
  <c r="R13" i="24"/>
  <c r="T12" i="24"/>
  <c r="R12" i="24"/>
  <c r="T11" i="24"/>
  <c r="R11" i="24"/>
  <c r="R10" i="24"/>
  <c r="L22" i="22" l="1"/>
  <c r="K15" i="10"/>
  <c r="L14" i="22"/>
  <c r="L16" i="22"/>
  <c r="K13" i="10"/>
  <c r="K14" i="10"/>
  <c r="K16" i="10"/>
  <c r="L14" i="10"/>
  <c r="L17" i="10"/>
  <c r="L20" i="22"/>
  <c r="K17" i="22"/>
  <c r="K15" i="22"/>
  <c r="K21" i="22"/>
  <c r="L16" i="10"/>
  <c r="K19" i="22"/>
  <c r="K13" i="22"/>
  <c r="D13" i="22"/>
  <c r="L13" i="22" s="1"/>
  <c r="L19" i="24"/>
  <c r="U19" i="24" s="1"/>
  <c r="L18" i="24"/>
  <c r="U18" i="24" s="1"/>
  <c r="L17" i="24"/>
  <c r="U17" i="24" s="1"/>
  <c r="L16" i="24"/>
  <c r="U16" i="24" s="1"/>
  <c r="L15" i="24"/>
  <c r="U15" i="24" s="1"/>
  <c r="L14" i="24"/>
  <c r="U14" i="24" s="1"/>
  <c r="U13" i="24"/>
  <c r="U12" i="24"/>
  <c r="U11" i="24"/>
  <c r="U10" i="24"/>
  <c r="J19" i="24"/>
  <c r="J18" i="24"/>
  <c r="J17" i="24"/>
  <c r="J16" i="24"/>
  <c r="J15" i="24"/>
  <c r="J14" i="24"/>
  <c r="A19" i="24"/>
  <c r="A18" i="24"/>
  <c r="A17" i="24"/>
  <c r="A16" i="24"/>
  <c r="A15" i="24"/>
  <c r="A14" i="24"/>
  <c r="A13" i="24"/>
  <c r="A12" i="24"/>
  <c r="A11" i="24"/>
  <c r="S13" i="24" l="1"/>
  <c r="S17" i="24"/>
  <c r="S12" i="24"/>
  <c r="S16" i="24"/>
  <c r="S11" i="24"/>
  <c r="S15" i="24"/>
  <c r="S19" i="24"/>
  <c r="S10" i="24"/>
  <c r="V10" i="24" s="1"/>
  <c r="S14" i="24"/>
  <c r="S18" i="24"/>
  <c r="T19" i="23"/>
  <c r="R19" i="23"/>
  <c r="L19" i="23"/>
  <c r="J19" i="23"/>
  <c r="A19" i="23"/>
  <c r="T18" i="23"/>
  <c r="R18" i="23"/>
  <c r="L18" i="23"/>
  <c r="J18" i="23"/>
  <c r="A18" i="23"/>
  <c r="T17" i="23"/>
  <c r="R17" i="23"/>
  <c r="L17" i="23"/>
  <c r="J17" i="23"/>
  <c r="A17" i="23"/>
  <c r="T16" i="23"/>
  <c r="R16" i="23"/>
  <c r="L16" i="23"/>
  <c r="J16" i="23"/>
  <c r="A16" i="23"/>
  <c r="T15" i="23"/>
  <c r="R15" i="23"/>
  <c r="L15" i="23"/>
  <c r="J15" i="23"/>
  <c r="A15" i="23"/>
  <c r="T14" i="23"/>
  <c r="R14" i="23"/>
  <c r="L14" i="23"/>
  <c r="J14" i="23"/>
  <c r="A14" i="23"/>
  <c r="T13" i="23"/>
  <c r="R13" i="23"/>
  <c r="L13" i="23"/>
  <c r="J13" i="23"/>
  <c r="A13" i="23"/>
  <c r="T12" i="23"/>
  <c r="R12" i="23"/>
  <c r="J12" i="23"/>
  <c r="A12" i="23"/>
  <c r="T11" i="23"/>
  <c r="R11" i="23"/>
  <c r="L11" i="23"/>
  <c r="A11" i="23"/>
  <c r="T10" i="23"/>
  <c r="R10" i="23"/>
  <c r="L10" i="23"/>
  <c r="H7" i="13"/>
  <c r="H6" i="13"/>
  <c r="H5" i="13"/>
  <c r="H4" i="13"/>
  <c r="G19" i="13"/>
  <c r="G18" i="13"/>
  <c r="G17" i="13"/>
  <c r="G16" i="13"/>
  <c r="G15" i="13"/>
  <c r="G14" i="13"/>
  <c r="G13" i="13"/>
  <c r="G12" i="13"/>
  <c r="G11" i="13"/>
  <c r="G10" i="13"/>
  <c r="G9" i="13"/>
  <c r="G8" i="13"/>
  <c r="G7" i="13"/>
  <c r="G6" i="13"/>
  <c r="G5" i="13"/>
  <c r="G4" i="13"/>
  <c r="S10" i="23" l="1"/>
  <c r="U20" i="24"/>
  <c r="S15" i="23"/>
  <c r="S19" i="23"/>
  <c r="S18" i="23"/>
  <c r="S17" i="23"/>
  <c r="S16" i="23"/>
  <c r="S12" i="23"/>
  <c r="S14" i="23"/>
  <c r="S13" i="23"/>
  <c r="S11" i="23"/>
  <c r="U12" i="23"/>
  <c r="U19" i="23"/>
  <c r="U18" i="23"/>
  <c r="U17" i="23"/>
  <c r="U16" i="23"/>
  <c r="U15" i="23"/>
  <c r="U14" i="23"/>
  <c r="U13" i="23"/>
  <c r="U11" i="23"/>
  <c r="U10" i="23"/>
  <c r="V10" i="23" l="1"/>
  <c r="D9" i="24"/>
  <c r="F12" i="10" l="1"/>
  <c r="C3" i="11"/>
  <c r="C4" i="11"/>
  <c r="D4" i="11"/>
  <c r="C47" i="11"/>
  <c r="C48" i="11"/>
  <c r="C50" i="11"/>
  <c r="J50" i="11"/>
  <c r="C51" i="11"/>
  <c r="B2" i="25"/>
  <c r="L3" i="25"/>
  <c r="B4" i="25"/>
  <c r="B5" i="25"/>
  <c r="C13" i="25"/>
  <c r="D13" i="25"/>
  <c r="F13" i="25"/>
  <c r="G13" i="25"/>
  <c r="H13" i="25"/>
  <c r="I13" i="25"/>
  <c r="J13" i="25"/>
  <c r="K13" i="25"/>
  <c r="A14" i="25"/>
  <c r="C14" i="25"/>
  <c r="D14" i="25"/>
  <c r="F14" i="25"/>
  <c r="G14" i="25"/>
  <c r="H14" i="25"/>
  <c r="I14" i="25"/>
  <c r="J14" i="25"/>
  <c r="K14" i="25"/>
  <c r="A15" i="25"/>
  <c r="C15" i="25"/>
  <c r="D15" i="25"/>
  <c r="F15" i="25"/>
  <c r="G15" i="25"/>
  <c r="H15" i="25"/>
  <c r="I15" i="25"/>
  <c r="J15" i="25"/>
  <c r="K15" i="25"/>
  <c r="A16" i="25"/>
  <c r="C16" i="25"/>
  <c r="D16" i="25"/>
  <c r="F16" i="25"/>
  <c r="G16" i="25"/>
  <c r="H16" i="25"/>
  <c r="I16" i="25"/>
  <c r="J16" i="25"/>
  <c r="K16" i="25"/>
  <c r="A17" i="25"/>
  <c r="C17" i="25"/>
  <c r="D17" i="25"/>
  <c r="F17" i="25"/>
  <c r="G17" i="25"/>
  <c r="H17" i="25"/>
  <c r="I17" i="25"/>
  <c r="J17" i="25"/>
  <c r="K17" i="25"/>
  <c r="A18" i="25"/>
  <c r="C18" i="25"/>
  <c r="D18" i="25"/>
  <c r="F18" i="25"/>
  <c r="G18" i="25"/>
  <c r="H18" i="25"/>
  <c r="I18" i="25"/>
  <c r="J18" i="25"/>
  <c r="K18" i="25"/>
  <c r="A19" i="25"/>
  <c r="C19" i="25"/>
  <c r="D19" i="25"/>
  <c r="F19" i="25"/>
  <c r="G19" i="25"/>
  <c r="H19" i="25"/>
  <c r="I19" i="25"/>
  <c r="J19" i="25"/>
  <c r="K19" i="25"/>
  <c r="A20" i="25"/>
  <c r="C20" i="25"/>
  <c r="D20" i="25"/>
  <c r="F20" i="25"/>
  <c r="G20" i="25"/>
  <c r="H20" i="25"/>
  <c r="I20" i="25"/>
  <c r="J20" i="25"/>
  <c r="K20" i="25"/>
  <c r="A21" i="25"/>
  <c r="C21" i="25"/>
  <c r="D21" i="25"/>
  <c r="F21" i="25"/>
  <c r="G21" i="25"/>
  <c r="H21" i="25"/>
  <c r="I21" i="25"/>
  <c r="J21" i="25"/>
  <c r="K21" i="25"/>
  <c r="A22" i="25"/>
  <c r="C22" i="25"/>
  <c r="D22" i="25"/>
  <c r="F22" i="25"/>
  <c r="G22" i="25"/>
  <c r="H22" i="25"/>
  <c r="I22" i="25"/>
  <c r="J22" i="25"/>
  <c r="K22" i="25"/>
  <c r="B2" i="22"/>
  <c r="B4" i="22"/>
  <c r="B5" i="22"/>
  <c r="B2" i="10"/>
  <c r="L3" i="10"/>
  <c r="B4" i="10"/>
  <c r="B5" i="10"/>
  <c r="B13" i="25"/>
  <c r="B14" i="25"/>
  <c r="B15" i="25"/>
  <c r="B16" i="25"/>
  <c r="B17" i="25"/>
  <c r="B18" i="25"/>
  <c r="B19" i="25"/>
  <c r="B20" i="25"/>
  <c r="B21" i="25"/>
  <c r="B22" i="25"/>
  <c r="A6" i="3"/>
  <c r="B8" i="3"/>
  <c r="I9" i="3"/>
  <c r="J9" i="3"/>
  <c r="Q9" i="3" s="1"/>
  <c r="S9" i="3" s="1"/>
  <c r="O9" i="3"/>
  <c r="P9" i="3" s="1"/>
  <c r="R9" i="3"/>
  <c r="I10" i="3"/>
  <c r="J10" i="3"/>
  <c r="Q10" i="3" s="1"/>
  <c r="S10" i="3" s="1"/>
  <c r="O10" i="3"/>
  <c r="P10" i="3" s="1"/>
  <c r="R10" i="3"/>
  <c r="I11" i="3"/>
  <c r="J11" i="3"/>
  <c r="O11" i="3"/>
  <c r="P11" i="3" s="1"/>
  <c r="T11" i="3" s="1"/>
  <c r="Q11" i="3"/>
  <c r="S11" i="3" s="1"/>
  <c r="R11" i="3"/>
  <c r="I12" i="3"/>
  <c r="J12" i="3"/>
  <c r="O12" i="3"/>
  <c r="P12" i="3" s="1"/>
  <c r="Q12" i="3"/>
  <c r="S12" i="3" s="1"/>
  <c r="R12" i="3"/>
  <c r="I13" i="3"/>
  <c r="J13" i="3"/>
  <c r="O13" i="3"/>
  <c r="P13" i="3" s="1"/>
  <c r="Q13" i="3"/>
  <c r="S13" i="3" s="1"/>
  <c r="R13" i="3"/>
  <c r="I14" i="3"/>
  <c r="J14" i="3"/>
  <c r="O14" i="3"/>
  <c r="P14" i="3" s="1"/>
  <c r="T14" i="3" s="1"/>
  <c r="Q14" i="3"/>
  <c r="S14" i="3" s="1"/>
  <c r="R14" i="3"/>
  <c r="I15" i="3"/>
  <c r="J15" i="3"/>
  <c r="O15" i="3"/>
  <c r="P15" i="3" s="1"/>
  <c r="T15" i="3" s="1"/>
  <c r="Q15" i="3"/>
  <c r="S15" i="3" s="1"/>
  <c r="R15" i="3"/>
  <c r="I16" i="3"/>
  <c r="J16" i="3"/>
  <c r="O16" i="3"/>
  <c r="P16" i="3" s="1"/>
  <c r="Q16" i="3"/>
  <c r="S16" i="3" s="1"/>
  <c r="R16" i="3"/>
  <c r="I17" i="3"/>
  <c r="J17" i="3"/>
  <c r="O17" i="3"/>
  <c r="P17" i="3" s="1"/>
  <c r="Q17" i="3"/>
  <c r="S17" i="3" s="1"/>
  <c r="R17" i="3"/>
  <c r="I18" i="3"/>
  <c r="J18" i="3"/>
  <c r="O18" i="3"/>
  <c r="P18" i="3" s="1"/>
  <c r="T18" i="3" s="1"/>
  <c r="Q18" i="3"/>
  <c r="S18" i="3" s="1"/>
  <c r="R18" i="3"/>
  <c r="D9" i="23"/>
  <c r="T17" i="3" l="1"/>
  <c r="T13" i="3"/>
  <c r="T16" i="3"/>
  <c r="T12" i="3"/>
  <c r="T10" i="3"/>
  <c r="T9" i="3"/>
  <c r="M13" i="10"/>
  <c r="M18" i="10"/>
  <c r="M14" i="10"/>
  <c r="M15" i="10"/>
  <c r="M17" i="10"/>
  <c r="M16" i="10"/>
  <c r="M14" i="22"/>
  <c r="M19" i="22"/>
  <c r="M16" i="22"/>
  <c r="M22" i="22"/>
  <c r="M15" i="22"/>
  <c r="M18" i="22"/>
  <c r="M21" i="22"/>
  <c r="M20" i="22"/>
  <c r="M17" i="22"/>
  <c r="M13" i="22"/>
  <c r="J12" i="10"/>
  <c r="L12" i="10" s="1"/>
  <c r="M12" i="10" s="1"/>
  <c r="I12" i="10"/>
  <c r="K12" i="10" s="1"/>
  <c r="C21" i="10"/>
  <c r="M21" i="25"/>
  <c r="M19" i="25"/>
  <c r="M17" i="25"/>
  <c r="M15" i="25"/>
  <c r="M13" i="25"/>
  <c r="E21" i="25"/>
  <c r="E15" i="25"/>
  <c r="L22" i="25"/>
  <c r="L18" i="25"/>
  <c r="L21" i="25"/>
  <c r="L17" i="25"/>
  <c r="E19" i="25"/>
  <c r="E14" i="25"/>
  <c r="E13" i="25"/>
  <c r="M22" i="25"/>
  <c r="M20" i="25"/>
  <c r="M18" i="25"/>
  <c r="M16" i="25"/>
  <c r="E18" i="25"/>
  <c r="E17" i="25"/>
  <c r="L19" i="25"/>
  <c r="L15" i="25"/>
  <c r="E22" i="25"/>
  <c r="E16" i="25"/>
  <c r="L20" i="25"/>
  <c r="L16" i="25"/>
  <c r="L14" i="25"/>
  <c r="E20" i="25"/>
  <c r="I25" i="25"/>
  <c r="M14" i="25"/>
  <c r="L13" i="25"/>
  <c r="C25" i="25"/>
  <c r="I25" i="22"/>
  <c r="C25" i="22"/>
  <c r="T18" i="2"/>
  <c r="T19" i="3" l="1"/>
  <c r="I29" i="25"/>
  <c r="I29" i="22"/>
  <c r="I21" i="10"/>
  <c r="I25" i="10" s="1"/>
  <c r="N21" i="25"/>
  <c r="O21" i="25" s="1"/>
  <c r="N15" i="25"/>
  <c r="O15" i="25" s="1"/>
  <c r="J25" i="22"/>
  <c r="J26" i="22" s="1"/>
  <c r="N18" i="25"/>
  <c r="O18" i="25" s="1"/>
  <c r="N13" i="25"/>
  <c r="O13" i="25" s="1"/>
  <c r="N20" i="25"/>
  <c r="O20" i="25" s="1"/>
  <c r="N19" i="25"/>
  <c r="O19" i="25" s="1"/>
  <c r="N17" i="25"/>
  <c r="O17" i="25" s="1"/>
  <c r="N22" i="25"/>
  <c r="O22" i="25" s="1"/>
  <c r="N16" i="25"/>
  <c r="O16" i="25" s="1"/>
  <c r="N14" i="25"/>
  <c r="O14" i="25" s="1"/>
  <c r="J25" i="25"/>
  <c r="J26" i="25" s="1"/>
  <c r="D25" i="25"/>
  <c r="D25" i="22"/>
  <c r="D26" i="22" s="1"/>
  <c r="D8" i="11"/>
  <c r="J21" i="10"/>
  <c r="D21" i="10"/>
  <c r="E8" i="11" l="1"/>
  <c r="F8" i="11" s="1"/>
  <c r="J30" i="22"/>
  <c r="J29" i="25"/>
  <c r="D26" i="25"/>
  <c r="J30" i="25" s="1"/>
  <c r="J29" i="22"/>
  <c r="D9" i="11"/>
  <c r="J25" i="10"/>
  <c r="D22" i="10"/>
  <c r="E9" i="11"/>
  <c r="J22" i="10"/>
  <c r="E7" i="11" s="1"/>
  <c r="F9" i="11" l="1"/>
  <c r="E37" i="11" s="1"/>
  <c r="C40" i="11" s="1"/>
  <c r="C41" i="11" s="1"/>
  <c r="D7" i="11"/>
  <c r="F7" i="11" s="1"/>
  <c r="F12" i="11" s="1"/>
  <c r="J26" i="10"/>
  <c r="F30" i="11" s="1"/>
  <c r="C42" i="11" l="1"/>
  <c r="F13" i="11"/>
  <c r="F14" i="11" s="1"/>
  <c r="F15" i="11" s="1"/>
  <c r="F16" i="11" s="1"/>
  <c r="F17" i="11" s="1"/>
  <c r="F18" i="11" s="1"/>
  <c r="F19" i="11" s="1"/>
  <c r="F20" i="11" s="1"/>
  <c r="F21" i="11" s="1"/>
  <c r="D12" i="11"/>
  <c r="D13" i="11" l="1"/>
  <c r="D14" i="11" s="1"/>
  <c r="D15" i="11" s="1"/>
  <c r="D16" i="11" s="1"/>
  <c r="U20" i="23" l="1"/>
  <c r="F28" i="11" s="1"/>
  <c r="F29" i="11" s="1"/>
  <c r="F32" i="11" l="1"/>
  <c r="F31" i="11"/>
  <c r="F11" i="1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3.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4.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sharedStrings.xml><?xml version="1.0" encoding="utf-8"?>
<sst xmlns="http://schemas.openxmlformats.org/spreadsheetml/2006/main" count="828" uniqueCount="478">
  <si>
    <t>Company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</si>
  <si>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</si>
  <si>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</si>
  <si>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</si>
  <si>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</si>
  <si>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</si>
  <si>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</si>
  <si>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</si>
  <si>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</si>
  <si>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</si>
  <si>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</si>
  <si>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</si>
  <si>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</si>
  <si>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</si>
  <si>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</si>
  <si>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</si>
  <si>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</si>
  <si>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</si>
  <si>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</si>
  <si>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</si>
  <si>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</si>
  <si>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</si>
  <si>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</si>
  <si>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</si>
  <si>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</si>
  <si>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</si>
  <si>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</si>
  <si>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</si>
  <si>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</si>
  <si>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</si>
  <si>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</si>
  <si>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</si>
  <si>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</si>
  <si>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</si>
  <si>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</si>
  <si>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</si>
  <si>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</si>
  <si>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TOTAL</t>
  </si>
  <si>
    <t>TABLE 1 - QUALIFYING EFFICIENCIES AND REBATE SCHEDULE</t>
  </si>
  <si>
    <t>TABLE 2 - GUIDELINES FOR COOLING HOURS</t>
  </si>
  <si>
    <t>Unit Code</t>
  </si>
  <si>
    <t>Qualifying
Equipment</t>
  </si>
  <si>
    <t>Base Rebate $/Ton</t>
  </si>
  <si>
    <t>Business
Segment</t>
  </si>
  <si>
    <t>Estimated Hours
(Southern MN)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</si>
  <si>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</si>
  <si>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</si>
  <si>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</si>
  <si>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</si>
  <si>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</si>
  <si>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</si>
  <si>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</si>
  <si>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</si>
  <si>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</si>
  <si>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</si>
  <si>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</si>
  <si>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</si>
  <si>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</si>
  <si>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</si>
  <si>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</si>
  <si>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</si>
  <si>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</si>
  <si>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</si>
  <si>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</si>
  <si>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</si>
  <si>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</si>
  <si>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</si>
  <si>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</si>
  <si>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</si>
  <si>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</si>
  <si>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</si>
  <si>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</si>
  <si>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</si>
  <si>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</si>
  <si>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</si>
  <si>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</si>
  <si>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</si>
  <si>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</si>
  <si>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</si>
  <si>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</si>
  <si>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</si>
  <si>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</si>
  <si>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</si>
  <si>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</si>
  <si>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</si>
  <si>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</si>
  <si>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</si>
  <si>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</si>
  <si>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</si>
  <si>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</si>
  <si>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</si>
  <si>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</si>
  <si>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</si>
  <si>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</si>
  <si>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</si>
  <si>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</si>
  <si>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</si>
  <si>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</si>
  <si>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</si>
  <si>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</si>
  <si>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</si>
  <si>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</si>
  <si>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</si>
  <si>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</si>
  <si>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</si>
  <si>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</si>
  <si>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</si>
  <si>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</si>
  <si>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</si>
  <si>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</si>
  <si>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&lt;8</t>
  </si>
  <si>
    <t>&gt; 16</t>
  </si>
  <si>
    <t>Advanced Distributor</t>
  </si>
  <si>
    <t>Tons</t>
  </si>
  <si>
    <t>Quantity</t>
  </si>
  <si>
    <t>Beutler Corp</t>
  </si>
  <si>
    <t>&lt;150</t>
  </si>
  <si>
    <t>Air - All</t>
  </si>
  <si>
    <t>Tons_2</t>
  </si>
  <si>
    <t xml:space="preserve">SEER_EER </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</si>
  <si>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</si>
  <si>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</si>
  <si>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</si>
  <si>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</si>
  <si>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</si>
  <si>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</si>
  <si>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</si>
  <si>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</si>
  <si>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</si>
  <si>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</si>
  <si>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</si>
  <si>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</si>
  <si>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</si>
  <si>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</si>
  <si>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</si>
  <si>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</si>
  <si>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</si>
  <si>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Education - Secondary School</t>
  </si>
  <si>
    <t>Office</t>
  </si>
  <si>
    <t>Retail</t>
  </si>
  <si>
    <t>Education - University</t>
  </si>
  <si>
    <t>Baseline IPLV (kW/ton)</t>
  </si>
  <si>
    <t>High Efficiency IPLV (kW/ton)</t>
  </si>
  <si>
    <t>Education - Community College</t>
  </si>
  <si>
    <t>Health/Medical - Clinic</t>
  </si>
  <si>
    <t>Health/Medical - Hospital</t>
  </si>
  <si>
    <t xml:space="preserve">Lodging </t>
  </si>
  <si>
    <t>New Equipment  SEER / EER</t>
  </si>
  <si>
    <t>ESK</t>
  </si>
  <si>
    <t>Modified Customer Information form to use groups of "Radio buttons" for choice lists - forces user to choose just one.</t>
  </si>
  <si>
    <t>Changed validation for unit counts (existing and new) on both Rebate Information forms to allow any whole number =&gt;0</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</si>
  <si>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</si>
  <si>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</si>
  <si>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</si>
  <si>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</si>
  <si>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</si>
  <si>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</si>
  <si>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</si>
  <si>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</si>
  <si>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</si>
  <si>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</si>
  <si>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</si>
  <si>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</si>
  <si>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</si>
  <si>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</si>
  <si>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</si>
  <si>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</si>
  <si>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</si>
  <si>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</si>
  <si>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</si>
  <si>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</si>
  <si>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</si>
  <si>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</si>
  <si>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</si>
  <si>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</si>
  <si>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</si>
  <si>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</si>
  <si>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</si>
  <si>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</si>
  <si>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</si>
  <si>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</si>
  <si>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</si>
  <si>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</si>
  <si>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</si>
  <si>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</si>
  <si>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</si>
  <si>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</si>
  <si>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</si>
  <si>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</si>
  <si>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</si>
  <si>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</si>
  <si>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</si>
  <si>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</si>
  <si>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</si>
  <si>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</si>
  <si>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</si>
  <si>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</si>
  <si>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</si>
  <si>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</si>
  <si>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</si>
  <si>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</si>
  <si>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</si>
  <si>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</si>
  <si>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</si>
  <si>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</si>
  <si>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M2</t>
  </si>
  <si>
    <t>Unit
Code</t>
  </si>
  <si>
    <t>Minimum
Efficiency</t>
  </si>
  <si>
    <t>Base Rebate
$/Ton</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</si>
  <si>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</si>
  <si>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</si>
  <si>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</si>
  <si>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</si>
  <si>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</si>
  <si>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</si>
  <si>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T</t>
  </si>
  <si>
    <t>Business Type</t>
  </si>
  <si>
    <r>
      <t xml:space="preserve">Base
Rebate
$/Ton
</t>
    </r>
    <r>
      <rPr>
        <sz val="8"/>
        <rFont val="Arial"/>
        <family val="2"/>
      </rPr>
      <t>(H x M x P)</t>
    </r>
  </si>
  <si>
    <t xml:space="preserve">SAVINGS INFORMATION -  AIR COOLED CHILLERS </t>
  </si>
  <si>
    <t xml:space="preserve">SAVINGS INFORMATION -  WATER COOLED CHILLERS </t>
  </si>
  <si>
    <t>The motors and/or variable speed drives in chiller units are not independently eligible for additional rebates offered under the</t>
  </si>
  <si>
    <t>Commercial Motor and Variable Speed Drive Rebate Program.</t>
  </si>
  <si>
    <t>INVESTMENT IN EFFICIENCY:</t>
  </si>
  <si>
    <t>Net High Efficiency Investment</t>
  </si>
  <si>
    <t>Total Investment</t>
  </si>
  <si>
    <t>Cost Differential for High Efficiency</t>
  </si>
  <si>
    <t>Annual Energy Cost Savings</t>
  </si>
  <si>
    <t>Old Equipment EER</t>
  </si>
  <si>
    <t>IPLV EER</t>
  </si>
  <si>
    <t>New Equipment  EER</t>
  </si>
  <si>
    <t>New Equipment  IPLV EER</t>
  </si>
  <si>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</si>
  <si>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</si>
  <si>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</si>
  <si>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</si>
  <si>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</si>
  <si>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</si>
  <si>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</si>
  <si>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</si>
  <si>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</si>
  <si>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</si>
  <si>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</si>
  <si>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</si>
  <si>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t>Cost Difference Between Standard and High Eff Equipment</t>
  </si>
  <si>
    <t>13 SEER</t>
  </si>
  <si>
    <t>DRL</t>
  </si>
  <si>
    <t>Updated Packaged/Rooftop with new codes, efficiences, and lowered the rebate amount</t>
  </si>
  <si>
    <t>Account Name</t>
  </si>
  <si>
    <t>Doing Business As (if different from Account Name)</t>
  </si>
  <si>
    <t>Contact Name (rebate check will be mailed to contact)</t>
  </si>
  <si>
    <t>SECTION D.  REBATE INFORMATION - ROOFTOP, PACKAGED AND CONDENSING A/C UNITS</t>
  </si>
  <si>
    <t>Actual
IEER* SEER*
or EER*</t>
  </si>
  <si>
    <t>IEER*</t>
  </si>
  <si>
    <t>Business
Type</t>
  </si>
  <si>
    <t>Note: In Columns B and J, please enter Existing and Actual SEER , IEER or EER value, respectively and then mark SEER, IEER or EER.</t>
  </si>
  <si>
    <t>* SEER=Seasonal Energy Efficiency Rating;  IEER=Integrated Energy Efficiency Rating; EER=Energy Efficiency Rating</t>
  </si>
  <si>
    <r>
      <t xml:space="preserve">A copy of the manufacturer's applicable unit rating must accompany this application. </t>
    </r>
    <r>
      <rPr>
        <sz val="8"/>
        <rFont val="Arial"/>
        <family val="2"/>
      </rPr>
      <t>The AHRI directory and standards are located at www.ahridirectory.org</t>
    </r>
  </si>
  <si>
    <t>Path A or B</t>
  </si>
  <si>
    <r>
      <t xml:space="preserve">Min.
FLV
</t>
    </r>
    <r>
      <rPr>
        <i/>
        <sz val="8"/>
        <rFont val="Arial"/>
        <family val="2"/>
      </rPr>
      <t>(Table 3)</t>
    </r>
  </si>
  <si>
    <t>Rated
FLV</t>
  </si>
  <si>
    <r>
      <t xml:space="preserve">Min. 
IPLV
</t>
    </r>
    <r>
      <rPr>
        <i/>
        <sz val="8"/>
        <rFont val="Arial"/>
        <family val="2"/>
      </rPr>
      <t>(Table 3)</t>
    </r>
  </si>
  <si>
    <t>Rated
IPLV</t>
  </si>
  <si>
    <r>
      <t xml:space="preserve">Total Eff. Bonus
</t>
    </r>
    <r>
      <rPr>
        <sz val="8"/>
        <rFont val="Arial"/>
        <family val="2"/>
      </rPr>
      <t>(Table 5)</t>
    </r>
  </si>
  <si>
    <r>
      <t>Total
Rebate</t>
    </r>
    <r>
      <rPr>
        <i/>
        <sz val="8"/>
        <rFont val="Arial"/>
        <family val="2"/>
      </rPr>
      <t xml:space="preserve">
</t>
    </r>
    <r>
      <rPr>
        <sz val="8"/>
        <rFont val="Arial"/>
        <family val="2"/>
      </rPr>
      <t>(S + Q)</t>
    </r>
  </si>
  <si>
    <t>Water Cooled</t>
  </si>
  <si>
    <t>[(K-L) x H x R x M] x 100</t>
  </si>
  <si>
    <t>TABLE 5 - Total Efficiency Bonus Calculation</t>
  </si>
  <si>
    <t>Qualifying Equipment</t>
  </si>
  <si>
    <t>Code</t>
  </si>
  <si>
    <t xml:space="preserve"> Min. FLV Eff.</t>
  </si>
  <si>
    <t>Min. IPLV Eff.</t>
  </si>
  <si>
    <t>Efficiency Bonus Rebate</t>
  </si>
  <si>
    <t>Water-Cooled Screw/Scroll Chiller - 75 to less than 150 tons</t>
  </si>
  <si>
    <t>Water-Cooled Screw/Scroll Chiller - 150 to less than 300 tons</t>
  </si>
  <si>
    <t>Water-Cooled Centrifugal Chiller - 150 to less than 300 Tons</t>
  </si>
  <si>
    <t>Water-Cooled Screw/Scroll Chiller- Less than 75 Tons</t>
  </si>
  <si>
    <t>Path A Chillers with Fixed Speed / No Demand Limiting Controls</t>
  </si>
  <si>
    <t>Estimated Hours</t>
  </si>
  <si>
    <t>Path B Chillers with Variable Speed / Demand Limiting Controls</t>
  </si>
  <si>
    <t>Air-Cooled Chiller- Less than 150 Tons</t>
  </si>
  <si>
    <t>Air-Cooled Chiller - 150 Tons and Greater</t>
  </si>
  <si>
    <t>FLV - Full Load Value; IPLV - Integrated Part Load Value; EER - Energy Efficiency Rate</t>
  </si>
  <si>
    <r>
      <t>Note:</t>
    </r>
    <r>
      <rPr>
        <sz val="10"/>
        <rFont val="Arial"/>
        <family val="2"/>
      </rPr>
      <t xml:space="preserve">  </t>
    </r>
  </si>
  <si>
    <t>Qualifying chillers must meet both full load and IPLV minimum efficiency requirements shown in Table 3 above to be eligible and have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t>
  </si>
  <si>
    <t>Air Cooled</t>
  </si>
  <si>
    <t>Unit_Code_ChillersW</t>
  </si>
  <si>
    <t>Unit_Code_ChillersA</t>
  </si>
  <si>
    <t>Base Equipment kW / Ton</t>
  </si>
  <si>
    <t>Rebates are available to non-residential electric customers of Austin Utilities, Owatonna Public Utilities, and Rochester Public Utilities (herein</t>
  </si>
  <si>
    <t>referred to as The Utility). All products must be in use in facilities in The Utility service territory.</t>
  </si>
  <si>
    <t>must be read and filled out completely or application will be returned.</t>
  </si>
  <si>
    <t>The Utility reserves the right to inspect the customer’s facility through on-site visits before and after new equipment installation to verify</t>
  </si>
  <si>
    <t>rebate eligibility.</t>
  </si>
  <si>
    <t>Qualifying energy-efficient equipment installed and operational within six (6) months of the date of purchase are eligible for rebate.</t>
  </si>
  <si>
    <t>Additional time may be granted subject to The Utility’s pre-approval. In no case will the rebate paid by The Utility exceed the purchase price</t>
  </si>
  <si>
    <t>of the equipment. The maximum rebate amount is $100,000 per customer location per technology per year.</t>
  </si>
  <si>
    <t>Following inspection and verification (see #3) and completed installation, the customer must notify The Utility and submit original invoices</t>
  </si>
  <si>
    <t>specifying the quantity and price of all materials purchased, the date ordered, installation costs, and applicable taxes. Additionally,</t>
  </si>
  <si>
    <t>SEER/EER (Rooftop, Packaged, and Condensing A/C Units) certification data or manufacturer’s kW per Ton (Central Chillers) is required</t>
  </si>
  <si>
    <t>to be submitted with invoices. After satisfactory review of the application and invoices, a rebate check or bill credit will be issued to the</t>
  </si>
  <si>
    <t>customer. Vendors or contractors are not eligible to receive their customer’s rebate. Please allow 6-10 weeks from the date of application</t>
  </si>
  <si>
    <t>submission for delivery of rebate check or bill credit. The Utility reserves the right to apply the rebate to past due accounts.</t>
  </si>
  <si>
    <t>Eligible high-efficiency cooling equipment must be new and meet or exceed The Utility’s minimum efficiency requirements as identified in</t>
  </si>
  <si>
    <t>Tables 1 and 3 according to its respective characteristics. Eligible high-efficiency cooling units must replace units of lesser efficiencies and</t>
  </si>
  <si>
    <t>of equivalent or greater capacity (Tons or Btu’s/hour) to qualify for a rebate.</t>
  </si>
  <si>
    <t>version of AHRI Standard 210/240 if under 65,000 BTU/hour and AHRI 340/360 if above 65,000 BTU/hour, and have nameplate</t>
  </si>
  <si>
    <t>data stamped with the SEER/EER. If equipment is larger than the AHRI Standard certification process, it must be listed as a standard</t>
  </si>
  <si>
    <t>combination in manufacturer’s literature. A copy of the manufacturer’s applicable unit rating must accompany this application. The AHRI</t>
  </si>
  <si>
    <t>directory and standards are located at www.ahridirectory.org.</t>
  </si>
  <si>
    <t>stamped on the nameplate. Documentation is required. This can be a printout from the AHRI directory (www.ahridirectory.org) or if the</t>
  </si>
  <si>
    <t>chiller has not been tested by AHRI, manufacturer documentation must show the rated capacity (tons), and the IPLV efficiency and the</t>
  </si>
  <si>
    <t>full-load efficiency at AHRI standard 550/590 rating conditions:</t>
  </si>
  <si>
    <t>• 44º F leaving chilled water temperature</t>
  </si>
  <si>
    <t>• 85º F entering condenser water temperature (for water cooled chillers)</t>
  </si>
  <si>
    <t>• 95º F entering condenser air temperature (for air cooled chillers)</t>
  </si>
  <si>
    <t>For water cooled centrifugal chillers not tested at AHRI standard 550/590 rating conditions, manufacturer documentation must show</t>
  </si>
  <si>
    <t>the nominal capacity (tons), and the IPLV efficiency, full-load efficiency, leaving chilled water temperature, entering condenser water</t>
  </si>
  <si>
    <t>temperature, and condenser gpm at operating conditions.</t>
  </si>
  <si>
    <t>The Utility will not be responsible for any tax liability imposed as a result of the rebate payment(s). Customers are advised to consult their</t>
  </si>
  <si>
    <t>tax advisors for details.</t>
  </si>
  <si>
    <t>The Utility does not guarantee that the implementation of energy-efficient measures or use of the equipment purchased or installed</t>
  </si>
  <si>
    <t>pursuant to this program will result in energy or cost savings. The Utility makes no warranties, expressed or implied, with respect to any</t>
  </si>
  <si>
    <t>equipment purchased or installed including, but not limited to, any warrant of merchantability or fitness for purpose. In no event shall</t>
  </si>
  <si>
    <t>The Utility be liable for any incidental or consequential damages. Customers are solely responsible for the proper disposal of existing</t>
  </si>
  <si>
    <t>equipment. Consult the Minnesota Pollution Control Agency (MPCA) office for details at 800.657.3864.</t>
  </si>
  <si>
    <t>The Utility does not endorse any particular vendor, manufacturer, product, or system in promoting this rebate program. Listing a vendor or</t>
  </si>
  <si>
    <t>product does not constitute an endorsement, nor does it imply that unlisted vendors or products are deficient or defective in any way.</t>
  </si>
  <si>
    <t>Information contained in this rebate application may be shared with the Minnesota Department of Commerce and our co-op partners and also</t>
  </si>
  <si>
    <t>may be used in our advertising efforts with your permission as granted in Section B of this rebate application.</t>
  </si>
  <si>
    <t>1.</t>
  </si>
  <si>
    <t>2.</t>
  </si>
  <si>
    <t>3.</t>
  </si>
  <si>
    <t>4.</t>
  </si>
  <si>
    <t>5.</t>
  </si>
  <si>
    <t>6.</t>
  </si>
  <si>
    <t>7.</t>
  </si>
  <si>
    <t>8.</t>
  </si>
  <si>
    <t>9.</t>
  </si>
  <si>
    <t>10.</t>
  </si>
  <si>
    <t>ELIGIBILITY</t>
  </si>
  <si>
    <t>APPLICATION</t>
  </si>
  <si>
    <t>INSPECTION AND VERIFICATION</t>
  </si>
  <si>
    <t>INSTALLATION AND REBATE AMOUNTS</t>
  </si>
  <si>
    <t>INVOICE AND PAYMENT</t>
  </si>
  <si>
    <t>EQUIPMENT ELIGIBILITY REQUIREMENTS</t>
  </si>
  <si>
    <t>TAX INFORMATION</t>
  </si>
  <si>
    <t>DISCLAIMER</t>
  </si>
  <si>
    <t>ENDORSEMENT</t>
  </si>
  <si>
    <t>PRIVACY</t>
  </si>
  <si>
    <t>SECTION G.  TERMS AND CONDITIONS</t>
  </si>
  <si>
    <t>RETURN  COMPLETED  APPLICATION  AND  REQUIRED  DOCUMENTATION  TO  YOUR  UTILITY  PROVIDER:</t>
  </si>
  <si>
    <t>Austin Utilities</t>
  </si>
  <si>
    <t>Attn: Rebate Processing</t>
  </si>
  <si>
    <t>1908 14th St NE</t>
  </si>
  <si>
    <t>Austin, MN 55912-4904</t>
  </si>
  <si>
    <t>507.433.8886</t>
  </si>
  <si>
    <t>www.austinutilities.com</t>
  </si>
  <si>
    <t>Owatonna Public Utilities</t>
  </si>
  <si>
    <t>PO Box 800</t>
  </si>
  <si>
    <t>Owatonna, MN 55060-0800</t>
  </si>
  <si>
    <t>507.451.2480</t>
  </si>
  <si>
    <t>www.owatonnautilities.com</t>
  </si>
  <si>
    <t>Rochester Public Utilities</t>
  </si>
  <si>
    <t xml:space="preserve">Attn: Rebate Processing </t>
  </si>
  <si>
    <t>4000 E River Rd NE</t>
  </si>
  <si>
    <t>Rochester, MN 55906-2813</t>
  </si>
  <si>
    <t>507.280.1500</t>
  </si>
  <si>
    <t>www.rpu.org</t>
  </si>
  <si>
    <r>
      <rPr>
        <b/>
        <sz val="9"/>
        <rFont val="Arial"/>
        <family val="2"/>
      </rPr>
      <t>Rooftop, Packaged, and Condensing A/C Units</t>
    </r>
    <r>
      <rPr>
        <sz val="9"/>
        <rFont val="Arial"/>
        <family val="2"/>
      </rPr>
      <t>: Qualifying unitary A/C units must have been rated in accordance with the most recent</t>
    </r>
  </si>
  <si>
    <r>
      <rPr>
        <b/>
        <sz val="9"/>
        <rFont val="Arial"/>
        <family val="2"/>
      </rPr>
      <t>Central Chillers</t>
    </r>
    <r>
      <rPr>
        <sz val="9"/>
        <rFont val="Arial"/>
        <family val="2"/>
      </rPr>
      <t>: Qualifying chillers must meet the efficiency requirements shown in Table 3 to be eligible and have kW per Ton ratings</t>
    </r>
  </si>
  <si>
    <t>DB</t>
  </si>
  <si>
    <t>Updated format to match, pdf format.  Updated codes.  Updated terms and conditions.</t>
  </si>
  <si>
    <t>Added checks so rebates are not caclulated for ineligible equipment</t>
  </si>
  <si>
    <t>Updated terms and conditions.</t>
  </si>
  <si>
    <t>Removed variable names that were unused (some pointed to lighting rebate spreadsheet)</t>
  </si>
  <si>
    <t>Packaged Terminal AC Units (new construction - less than 7,000 BTU/Hour)</t>
  </si>
  <si>
    <t>Packaged Terminal AC Units (new construction - 7,000-15,000 BTU/hour)</t>
  </si>
  <si>
    <t>Packaged Terminal AC Units (new construction - greater than 15,000 BTU/hour)</t>
  </si>
  <si>
    <t>Packaged Terminal AC Units (replacement  - less than 7,000 BTU/Hour)</t>
  </si>
  <si>
    <t>Packaged Terminal AC Units (replacement - 7,000-15,000 BTU/hour)</t>
  </si>
  <si>
    <t>Packaged Terminal AC Units (replacement - greater than 15,000 BTU/hour)</t>
  </si>
  <si>
    <t>Packaged Terminal Heat Pump Units (new construction - less than 7,000 BTU/hour)</t>
  </si>
  <si>
    <t>Packaged Terminal Heat Pump Units (new construction - 7,000-15,000 BTU/hour)</t>
  </si>
  <si>
    <t>Packaged Terminal Heat Pump Units (new construction - greater than  15,000 BTU/hour)</t>
  </si>
  <si>
    <t>Packaged Terminal Heat Pump Units (replacement - less than 7,000 BTU/hour)</t>
  </si>
  <si>
    <t>Packaged Terminal Heat Pump Units (replacement - 7,000-15,000 BTU/hour)</t>
  </si>
  <si>
    <t>Packaged Terminal Heat Pump Units (replacement - greater than 15,000 BTU/hour)</t>
  </si>
  <si>
    <t>SECTION E.  REBATE INFORMATION - WATER COOLED CHILLERS</t>
  </si>
  <si>
    <t>SECTION E.  REBATE INFORMATION -  AIR COOLED CHILLERS</t>
  </si>
  <si>
    <r>
      <t xml:space="preserve">Program is offered January 1 through December 31 of the respective calendar year. </t>
    </r>
    <r>
      <rPr>
        <b/>
        <sz val="9"/>
        <rFont val="Arial"/>
        <family val="2"/>
      </rPr>
      <t>Due to limited funding, this rebate offer can be</t>
    </r>
  </si>
  <si>
    <r>
      <rPr>
        <b/>
        <sz val="9"/>
        <rFont val="Arial"/>
        <family val="2"/>
      </rPr>
      <t>changed or withdrawn at any time without notice and is available on a first-come, first-serve basis.</t>
    </r>
    <r>
      <rPr>
        <sz val="9"/>
        <rFont val="Arial"/>
        <family val="2"/>
      </rPr>
      <t xml:space="preserve"> The entire rebate application</t>
    </r>
  </si>
  <si>
    <t>14 SEER</t>
  </si>
  <si>
    <t>12.7 IEER</t>
  </si>
  <si>
    <t>12.2 IERR</t>
  </si>
  <si>
    <t>11.4 IEER</t>
  </si>
  <si>
    <t>9.6 IEER</t>
  </si>
  <si>
    <t>14.0 IEER</t>
  </si>
  <si>
    <t>DX split systems less than 65,000 Btu/hour</t>
  </si>
  <si>
    <t>DX packaged units less than 65,000 Btu/hour</t>
  </si>
  <si>
    <t>DX units 65,000 - 134,999 Btu/hour</t>
  </si>
  <si>
    <t>DX units 135,000 - 239,999 Btu/hour</t>
  </si>
  <si>
    <t>DX units 240,000 -759,999 Btu/hour</t>
  </si>
  <si>
    <t>DX units 760,000 Btu/hour or greater</t>
  </si>
  <si>
    <t>DX condensing units greater than 135,000 Btu/hour</t>
  </si>
  <si>
    <t>11.9 EER</t>
  </si>
  <si>
    <t>9.5 EER</t>
  </si>
  <si>
    <t>9.4 EER</t>
  </si>
  <si>
    <t>7.7 EER</t>
  </si>
  <si>
    <t>9.3 EER</t>
  </si>
  <si>
    <t>7.6 EER</t>
  </si>
  <si>
    <t>Base Efficiency for Existing Equipment</t>
  </si>
  <si>
    <t>11.9 - (0.213 x Btuh Capacity/1000) EER</t>
  </si>
  <si>
    <t>14.0- (0.3 x Btuh Capacity/1000) EER</t>
  </si>
  <si>
    <t>10.9 - (0.213 x Btuh Capacity/1000) EER</t>
  </si>
  <si>
    <t>14.0 - (0.3 x Btuh Capacity/1000) EER</t>
  </si>
  <si>
    <t>10.8- (0.213 x Btuh Capacity/1000) EER</t>
  </si>
  <si>
    <t>15.0 - (0.3 x Btuh Capacity/1000) EER</t>
  </si>
  <si>
    <r>
      <rPr>
        <b/>
        <sz val="8"/>
        <rFont val="Arial"/>
        <family val="2"/>
      </rPr>
      <t>Note:</t>
    </r>
    <r>
      <rPr>
        <sz val="8"/>
        <rFont val="Arial"/>
        <family val="2"/>
      </rPr>
      <t xml:space="preserve">  Qualifying unitary A/C units must have been rated in accordance with the most recent version of AHRI Standard 210/240 if under 65,000 BTU/hour and AHRI 340/360 if above 65,000 BTU/hour, and have nameplate data stamped with the SEER/IEER/EER. If equipment is larger than the AHRI Standard certification process, it must be listed as a standard combination in manufacturer’s literature.</t>
    </r>
  </si>
  <si>
    <t>Is the existing equipment operational:</t>
  </si>
  <si>
    <t>Yes</t>
  </si>
  <si>
    <t>No</t>
  </si>
  <si>
    <t>15.0 - (0.3 x  Btuh Capacity/1000) EER*</t>
  </si>
  <si>
    <t>11.9 - (0.213 x Btuh Capacity/1000) EER*</t>
  </si>
  <si>
    <t>15.0 - (0.3 x Btuh Capacity/1000) EER*</t>
  </si>
  <si>
    <t>Water-Cooled Centrifugal Chiller - 300 to less than 600 tons</t>
  </si>
  <si>
    <t>Water-Cooled Centrifugal Chiller - 600 Tons and Greater</t>
  </si>
  <si>
    <t>Water-Cooled Centrifugal Chiller - 300 to less than 600 Tons</t>
  </si>
  <si>
    <r>
      <t xml:space="preserve">Eff. Bonus Rebate* $/Ton </t>
    </r>
    <r>
      <rPr>
        <i/>
        <sz val="8"/>
        <rFont val="Arial"/>
        <family val="2"/>
      </rPr>
      <t>(Table 3)</t>
    </r>
  </si>
  <si>
    <t>* Efficiency Bonus Rebate provides an additional incentive for each 0.01 kW per Ton below the Minimum IPLV Efficiency.</t>
  </si>
  <si>
    <t>* Efficiency Bonus Rebate provides an additional incentive for each 0.1 EER above the Minimum IPLV Efficiency.</t>
  </si>
  <si>
    <t>[(L-K) x H x R x M] x 10</t>
  </si>
  <si>
    <r>
      <t xml:space="preserve">** Efficiency Bonus Rebate provides an additional incentive for each 0.1 SEER/IEER or EER </t>
    </r>
    <r>
      <rPr>
        <u/>
        <sz val="8"/>
        <rFont val="Arial"/>
        <family val="2"/>
      </rPr>
      <t>above</t>
    </r>
    <r>
      <rPr>
        <sz val="8"/>
        <rFont val="Arial"/>
        <family val="2"/>
      </rPr>
      <t xml:space="preserve"> the Minimum Efficiency.</t>
    </r>
  </si>
  <si>
    <t>U</t>
  </si>
  <si>
    <t>V</t>
  </si>
  <si>
    <t>W</t>
  </si>
  <si>
    <r>
      <t xml:space="preserve">Min.
IPLV
</t>
    </r>
    <r>
      <rPr>
        <i/>
        <sz val="8"/>
        <rFont val="Arial"/>
        <family val="2"/>
      </rPr>
      <t>(Table 3)</t>
    </r>
  </si>
  <si>
    <r>
      <t xml:space="preserve">Base
Rebate
$/Ton
</t>
    </r>
    <r>
      <rPr>
        <sz val="8"/>
        <rFont val="Arial"/>
        <family val="2"/>
      </rPr>
      <t>( J x O x S)</t>
    </r>
  </si>
  <si>
    <r>
      <t>Total
Rebate</t>
    </r>
    <r>
      <rPr>
        <i/>
        <sz val="8"/>
        <rFont val="Arial"/>
        <family val="2"/>
      </rPr>
      <t xml:space="preserve">
</t>
    </r>
    <r>
      <rPr>
        <sz val="8"/>
        <rFont val="Arial"/>
        <family val="2"/>
      </rPr>
      <t>(V + T)</t>
    </r>
  </si>
  <si>
    <t>C9 - 20A</t>
  </si>
  <si>
    <t>C10 - 20A</t>
  </si>
  <si>
    <t>C9 - 20B</t>
  </si>
  <si>
    <t>C10 - 20B</t>
  </si>
  <si>
    <t>C1 - 20A</t>
  </si>
  <si>
    <t>C2 - 20A</t>
  </si>
  <si>
    <t>C3 - 20A</t>
  </si>
  <si>
    <t>C4 - 20A</t>
  </si>
  <si>
    <t>C5 - 20A</t>
  </si>
  <si>
    <t>C6 - 20A</t>
  </si>
  <si>
    <t>C7 - 20A</t>
  </si>
  <si>
    <t>C8 - 20A</t>
  </si>
  <si>
    <t>C1 - 20B</t>
  </si>
  <si>
    <t>C2 - 20B</t>
  </si>
  <si>
    <t>C3 - 20B</t>
  </si>
  <si>
    <t>C4 - 20B</t>
  </si>
  <si>
    <t>C5 - 20B</t>
  </si>
  <si>
    <t>C6 - 20B</t>
  </si>
  <si>
    <t>C7 - 20B</t>
  </si>
  <si>
    <t>C8 - 20B</t>
  </si>
  <si>
    <t>UT1A-20</t>
  </si>
  <si>
    <t>UT1B-20</t>
  </si>
  <si>
    <t>UT2-20</t>
  </si>
  <si>
    <t>UT3-20</t>
  </si>
  <si>
    <t>UT4-20</t>
  </si>
  <si>
    <t>UT5-20</t>
  </si>
  <si>
    <t>UT6-20</t>
  </si>
  <si>
    <t>PTAC1-NC-20</t>
  </si>
  <si>
    <t>PTAC2-NC-20</t>
  </si>
  <si>
    <t>PTAC3-NC-20</t>
  </si>
  <si>
    <t>PTAC1-R-20</t>
  </si>
  <si>
    <t>PTAC2-R-20</t>
  </si>
  <si>
    <t>PTAC3-R-20</t>
  </si>
  <si>
    <t>PTHP1-NC-20</t>
  </si>
  <si>
    <t>PTHP2-NC-20</t>
  </si>
  <si>
    <t>PTHP3-NC-20</t>
  </si>
  <si>
    <t>PTHP1-R-20</t>
  </si>
  <si>
    <t>PTHP2-R-20</t>
  </si>
  <si>
    <t>PTHP3-R-20</t>
  </si>
  <si>
    <t>REBATE IS LIMITED TO 50% OF NEW EQUIPMENT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</si>
</sst>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_(&quot;$&quot;* #,##0.0000_);_(&quot;$&quot;* \(#,##0.0000\);_(&quot;$&quot;* &quot;-&quot;??_);_(@_)"/>
    <numFmt numFmtId="169" formatCode="_(&quot;$&quot;* #,##0.000_);_(&quot;$&quot;* \(#,##0.000\);_(&quot;$&quot;* &quot;-&quot;??_);_(@_)"/>
    <numFmt numFmtId="170" formatCode="&quot;$&quot;#,##0.00"/>
    <numFmt numFmtId="171" formatCode="_(&quot;$&quot;* #,##0_);_(&quot;$&quot;* \(#,##0\);_(&quot;$&quot;* &quot;-&quot;??_);_(@_)"/>
    <numFmt numFmtId="172" formatCode="\(###\)\ ###\-####"/>
    <numFmt numFmtId="173" formatCode="&quot;NA&quot;"/>
    <numFmt numFmtId="174" formatCode="#,##0.000\ &quot; EER&quot;"/>
    <numFmt numFmtId="175" formatCode="#,##0.0\ &quot; EER&quot;"/>
    <numFmt numFmtId="176" formatCode="#,##0.000\ &quot; kW per Ton&quot;"/>
    <numFmt numFmtId="177" formatCode="0.000"/>
    <numFmt numFmtId="178" formatCode="#,##0.000_);\(#,##0.000\)"/>
  </numFmts>
  <fonts count="49" x14ac:knownFonts="1">
    <font>
      <sz val="10"/>
      <name val="Arial"/>
    </font>
    <font>
      <sz val="11"/>
      <color theme="1"/>
      <name val="Calibri"/>
      <family val="2"/>
      <scheme val="minor"/>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b/>
      <sz val="11"/>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b/>
      <sz val="10"/>
      <name val="Arial Black"/>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sz val="8"/>
      <color theme="0"/>
      <name val="Arial"/>
      <family val="2"/>
    </font>
    <font>
      <sz val="8"/>
      <color rgb="FF000000"/>
      <name val="Tahoma"/>
      <family val="2"/>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4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1"/>
      </left>
      <right style="medium">
        <color indexed="64"/>
      </right>
      <top/>
      <bottom style="thin">
        <color indexed="64"/>
      </bottom>
      <diagonal/>
    </border>
    <border>
      <left/>
      <right style="thin">
        <color indexed="64"/>
      </right>
      <top style="thin">
        <color indexed="64"/>
      </top>
      <bottom style="medium">
        <color theme="1"/>
      </bottom>
      <diagonal/>
    </border>
    <border>
      <left style="medium">
        <color theme="1"/>
      </left>
      <right style="medium">
        <color indexed="64"/>
      </right>
      <top/>
      <bottom style="medium">
        <color indexed="64"/>
      </bottom>
      <diagonal/>
    </border>
    <border>
      <left style="medium">
        <color theme="1"/>
      </left>
      <right style="medium">
        <color indexed="64"/>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top style="medium">
        <color theme="1"/>
      </top>
      <bottom/>
      <diagonal/>
    </border>
    <border>
      <left/>
      <right style="medium">
        <color theme="1"/>
      </right>
      <top style="medium">
        <color theme="1"/>
      </top>
      <bottom style="medium">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medium">
        <color indexed="64"/>
      </top>
      <bottom style="medium">
        <color indexed="64"/>
      </bottom>
      <diagonal/>
    </border>
    <border>
      <left style="medium">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thin">
        <color indexed="64"/>
      </top>
      <bottom style="thin">
        <color indexed="64"/>
      </bottom>
      <diagonal/>
    </border>
    <border>
      <left style="thin">
        <color indexed="64"/>
      </left>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medium">
        <color indexed="64"/>
      </right>
      <top style="medium">
        <color theme="1"/>
      </top>
      <bottom style="medium">
        <color indexed="64"/>
      </bottom>
      <diagonal/>
    </border>
    <border>
      <left/>
      <right style="medium">
        <color theme="1"/>
      </right>
      <top style="medium">
        <color indexed="64"/>
      </top>
      <bottom style="thin">
        <color indexed="64"/>
      </bottom>
      <diagonal/>
    </border>
    <border>
      <left style="medium">
        <color indexed="64"/>
      </left>
      <right/>
      <top style="medium">
        <color theme="1"/>
      </top>
      <bottom style="medium">
        <color indexed="64"/>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medium">
        <color theme="1"/>
      </right>
      <top/>
      <bottom/>
      <diagonal/>
    </border>
    <border>
      <left style="thin">
        <color indexed="64"/>
      </left>
      <right/>
      <top style="medium">
        <color indexed="64"/>
      </top>
      <bottom/>
      <diagonal/>
    </border>
  </borders>
  <cellStyleXfs count="14">
    <xf numFmtId="0" fontId="0" fillId="0" borderId="0"/>
    <xf numFmtId="43" fontId="3"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0" fontId="15" fillId="2" borderId="0" applyNumberFormat="0" applyAlignment="0">
      <alignment horizontal="right"/>
    </xf>
    <xf numFmtId="0" fontId="15" fillId="3" borderId="0" applyNumberFormat="0" applyAlignment="0"/>
    <xf numFmtId="0" fontId="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xf numFmtId="0" fontId="15" fillId="0" borderId="0"/>
    <xf numFmtId="9" fontId="17" fillId="0" borderId="0" applyFont="0" applyFill="0" applyBorder="0" applyAlignment="0" applyProtection="0"/>
  </cellStyleXfs>
  <cellXfs count="802">
    <xf numFmtId="0" fontId="0" fillId="0" borderId="0" xfId="0"/>
    <xf numFmtId="0" fontId="0" fillId="0" borderId="0" xfId="0" applyBorder="1"/>
    <xf numFmtId="0" fontId="0" fillId="0" borderId="0" xfId="0" applyFill="1"/>
    <xf numFmtId="0" fontId="5" fillId="0" borderId="0" xfId="0" applyFont="1"/>
    <xf numFmtId="0" fontId="11"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13" fillId="0" borderId="0" xfId="0" applyFont="1" applyAlignment="1">
      <alignment horizontal="center" vertical="center"/>
    </xf>
    <xf numFmtId="6" fontId="5" fillId="0" borderId="2" xfId="0" applyNumberFormat="1" applyFont="1" applyBorder="1" applyAlignment="1">
      <alignment horizontal="center" vertical="center"/>
    </xf>
    <xf numFmtId="0" fontId="9" fillId="0" borderId="0" xfId="0" applyFont="1"/>
    <xf numFmtId="0" fontId="9" fillId="0" borderId="0" xfId="0" applyFont="1" applyAlignment="1">
      <alignment vertical="top"/>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44" fontId="8" fillId="0" borderId="0"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Border="1"/>
    <xf numFmtId="0" fontId="8" fillId="0" borderId="0" xfId="0" applyFont="1"/>
    <xf numFmtId="49" fontId="0" fillId="0" borderId="0" xfId="0" applyNumberFormat="1" applyFill="1" applyBorder="1" applyAlignment="1">
      <alignment horizontal="left" vertical="center"/>
    </xf>
    <xf numFmtId="44" fontId="6" fillId="0" borderId="0" xfId="0" applyNumberFormat="1" applyFont="1" applyBorder="1" applyAlignment="1">
      <alignment vertical="center"/>
    </xf>
    <xf numFmtId="49" fontId="6" fillId="4" borderId="3" xfId="0" quotePrefix="1" applyNumberFormat="1" applyFont="1" applyFill="1" applyBorder="1" applyAlignment="1">
      <alignment horizontal="left" vertical="center"/>
    </xf>
    <xf numFmtId="0" fontId="0" fillId="4" borderId="4" xfId="0" applyFill="1" applyBorder="1"/>
    <xf numFmtId="0" fontId="6" fillId="4" borderId="2" xfId="0" applyFont="1" applyFill="1" applyBorder="1" applyAlignment="1">
      <alignment horizontal="center" wrapText="1"/>
    </xf>
    <xf numFmtId="0" fontId="5" fillId="0" borderId="2" xfId="0" applyFont="1" applyBorder="1" applyAlignment="1">
      <alignment horizontal="center" vertical="center"/>
    </xf>
    <xf numFmtId="0" fontId="10" fillId="0" borderId="0" xfId="0" quotePrefix="1" applyFont="1" applyAlignment="1">
      <alignment horizontal="left"/>
    </xf>
    <xf numFmtId="0" fontId="8" fillId="0" borderId="0" xfId="0" quotePrefix="1" applyFont="1"/>
    <xf numFmtId="0" fontId="6" fillId="0" borderId="0" xfId="0" quotePrefix="1" applyFont="1"/>
    <xf numFmtId="0" fontId="4" fillId="0" borderId="0" xfId="0" applyFont="1" applyFill="1"/>
    <xf numFmtId="0" fontId="4" fillId="0" borderId="0" xfId="0" applyFont="1" applyFill="1" applyAlignment="1">
      <alignment vertical="center"/>
    </xf>
    <xf numFmtId="0" fontId="0" fillId="0" borderId="0" xfId="0" applyAlignment="1"/>
    <xf numFmtId="0" fontId="8" fillId="0" borderId="0" xfId="0" applyFont="1" applyAlignment="1"/>
    <xf numFmtId="0" fontId="42" fillId="0" borderId="0" xfId="11"/>
    <xf numFmtId="0" fontId="6" fillId="5" borderId="5" xfId="11" applyFont="1" applyFill="1" applyBorder="1" applyProtection="1">
      <protection locked="0"/>
    </xf>
    <xf numFmtId="0" fontId="5" fillId="0" borderId="0" xfId="11" applyFont="1"/>
    <xf numFmtId="0" fontId="6" fillId="5" borderId="5" xfId="11" applyFont="1" applyFill="1" applyBorder="1" applyAlignment="1" applyProtection="1">
      <alignment horizontal="left"/>
      <protection locked="0"/>
    </xf>
    <xf numFmtId="0" fontId="6" fillId="5" borderId="5" xfId="11" applyFont="1" applyFill="1" applyBorder="1"/>
    <xf numFmtId="0" fontId="42" fillId="0" borderId="0" xfId="11" applyBorder="1"/>
    <xf numFmtId="0" fontId="5" fillId="0" borderId="0" xfId="11" applyFont="1" applyBorder="1"/>
    <xf numFmtId="0" fontId="42" fillId="0" borderId="0" xfId="11" applyProtection="1"/>
    <xf numFmtId="0" fontId="5" fillId="0" borderId="0" xfId="11" applyFont="1" applyAlignment="1" applyProtection="1"/>
    <xf numFmtId="0" fontId="42" fillId="0" borderId="0" xfId="11" applyFill="1" applyBorder="1"/>
    <xf numFmtId="0" fontId="18" fillId="0" borderId="0" xfId="11" applyFont="1"/>
    <xf numFmtId="0" fontId="21" fillId="0" borderId="0" xfId="11" applyFont="1" applyAlignment="1">
      <alignment horizontal="center" vertical="top"/>
    </xf>
    <xf numFmtId="0" fontId="42" fillId="0" borderId="0" xfId="11" applyFill="1"/>
    <xf numFmtId="14" fontId="42" fillId="0" borderId="0" xfId="11" applyNumberFormat="1"/>
    <xf numFmtId="0" fontId="42" fillId="0" borderId="0" xfId="11" applyAlignment="1">
      <alignment horizontal="center"/>
    </xf>
    <xf numFmtId="0" fontId="42"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2" fillId="0" borderId="0" xfId="11" applyNumberFormat="1"/>
    <xf numFmtId="0" fontId="42" fillId="0" borderId="0" xfId="11" applyAlignment="1">
      <alignment horizontal="right"/>
    </xf>
    <xf numFmtId="5" fontId="42"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6" fontId="25" fillId="0" borderId="0" xfId="2" applyNumberFormat="1" applyFont="1" applyAlignment="1">
      <alignment horizontal="center"/>
    </xf>
    <xf numFmtId="166" fontId="24" fillId="0" borderId="0" xfId="11" applyNumberFormat="1" applyFont="1"/>
    <xf numFmtId="165" fontId="24" fillId="0" borderId="0" xfId="11" applyNumberFormat="1" applyFont="1"/>
    <xf numFmtId="43" fontId="24" fillId="0" borderId="0" xfId="11" applyNumberFormat="1" applyFont="1"/>
    <xf numFmtId="0" fontId="24" fillId="0" borderId="8" xfId="11" applyFont="1" applyBorder="1"/>
    <xf numFmtId="0" fontId="42" fillId="0" borderId="8" xfId="11" applyBorder="1"/>
    <xf numFmtId="0" fontId="16"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69"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5"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28" fillId="0" borderId="0" xfId="0" applyFont="1"/>
    <xf numFmtId="0" fontId="28" fillId="0" borderId="0" xfId="0" applyFont="1" applyAlignment="1">
      <alignment horizontal="left"/>
    </xf>
    <xf numFmtId="0" fontId="5" fillId="0" borderId="0" xfId="0" applyFont="1" applyAlignment="1">
      <alignment horizontal="center"/>
    </xf>
    <xf numFmtId="0" fontId="5" fillId="0" borderId="0" xfId="0" applyFont="1" applyBorder="1"/>
    <xf numFmtId="0" fontId="5" fillId="0" borderId="0" xfId="0" applyFont="1" applyAlignment="1"/>
    <xf numFmtId="0" fontId="5" fillId="0" borderId="5" xfId="0" applyFont="1" applyBorder="1"/>
    <xf numFmtId="7" fontId="0" fillId="0" borderId="0" xfId="0" applyNumberFormat="1"/>
    <xf numFmtId="0" fontId="5" fillId="0" borderId="0" xfId="0" applyFont="1" applyProtection="1">
      <protection locked="0"/>
    </xf>
    <xf numFmtId="0" fontId="5" fillId="0" borderId="0" xfId="0" applyFont="1" applyBorder="1" applyAlignment="1">
      <alignment horizontal="right"/>
    </xf>
    <xf numFmtId="0" fontId="5" fillId="0" borderId="0" xfId="0" applyFont="1" applyAlignment="1">
      <alignment horizontal="left"/>
    </xf>
    <xf numFmtId="0" fontId="30" fillId="0" borderId="0" xfId="0" applyFont="1" applyProtection="1">
      <protection locked="0"/>
    </xf>
    <xf numFmtId="0" fontId="5" fillId="0" borderId="2" xfId="0" applyFont="1" applyBorder="1" applyAlignment="1">
      <alignment horizontal="left" vertical="center"/>
    </xf>
    <xf numFmtId="0" fontId="5" fillId="0" borderId="5" xfId="0" applyFont="1" applyBorder="1" applyAlignment="1">
      <alignment horizontal="left"/>
    </xf>
    <xf numFmtId="0" fontId="5" fillId="0" borderId="0" xfId="0" applyFont="1" applyBorder="1" applyAlignment="1"/>
    <xf numFmtId="0" fontId="8"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9" fillId="0" borderId="0" xfId="0" applyFont="1" applyAlignment="1"/>
    <xf numFmtId="167" fontId="0" fillId="0" borderId="0" xfId="0" applyNumberFormat="1" applyAlignment="1">
      <alignment horizontal="right"/>
    </xf>
    <xf numFmtId="167" fontId="28" fillId="0" borderId="0" xfId="0" applyNumberFormat="1" applyFont="1" applyAlignment="1">
      <alignment horizontal="left"/>
    </xf>
    <xf numFmtId="167" fontId="15" fillId="0" borderId="0" xfId="0" applyNumberFormat="1" applyFont="1" applyAlignment="1">
      <alignment horizontal="right"/>
    </xf>
    <xf numFmtId="167" fontId="0" fillId="0" borderId="0" xfId="0" applyNumberFormat="1"/>
    <xf numFmtId="0" fontId="5" fillId="0" borderId="0" xfId="0" applyFont="1" applyBorder="1" applyAlignment="1">
      <alignment horizontal="center" vertical="center"/>
    </xf>
    <xf numFmtId="0" fontId="8" fillId="0" borderId="0" xfId="0" applyFont="1" applyBorder="1" applyAlignment="1" applyProtection="1">
      <alignment horizontal="center"/>
      <protection locked="0"/>
    </xf>
    <xf numFmtId="0" fontId="6" fillId="7" borderId="2" xfId="0" applyFont="1" applyFill="1" applyBorder="1" applyAlignment="1">
      <alignment horizontal="center" vertical="center"/>
    </xf>
    <xf numFmtId="44" fontId="6" fillId="7" borderId="17" xfId="0" applyNumberFormat="1" applyFont="1" applyFill="1" applyBorder="1" applyAlignment="1">
      <alignment horizontal="center" vertical="center"/>
    </xf>
    <xf numFmtId="44" fontId="6" fillId="7" borderId="2" xfId="0" applyNumberFormat="1" applyFont="1" applyFill="1" applyBorder="1" applyAlignment="1">
      <alignment horizontal="center" vertical="center"/>
    </xf>
    <xf numFmtId="39" fontId="6" fillId="7" borderId="2" xfId="1" applyNumberFormat="1" applyFont="1" applyFill="1" applyBorder="1" applyAlignment="1">
      <alignment horizontal="center" vertical="center"/>
    </xf>
    <xf numFmtId="44" fontId="6" fillId="7" borderId="1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0" fontId="5" fillId="0" borderId="2" xfId="0" applyFont="1" applyBorder="1" applyAlignment="1">
      <alignment horizontal="left" vertical="center" wrapText="1"/>
    </xf>
    <xf numFmtId="0" fontId="5" fillId="0" borderId="0" xfId="11" applyFont="1" applyFill="1" applyBorder="1"/>
    <xf numFmtId="0" fontId="32" fillId="0" borderId="4" xfId="0" applyFont="1" applyBorder="1" applyAlignment="1">
      <alignment horizontal="right"/>
    </xf>
    <xf numFmtId="0" fontId="9" fillId="0" borderId="0" xfId="0" applyFont="1" applyAlignment="1">
      <alignment vertical="center" wrapText="1"/>
    </xf>
    <xf numFmtId="0" fontId="9" fillId="0" borderId="0" xfId="0" applyFont="1" applyFill="1" applyAlignment="1">
      <alignment vertical="center" wrapText="1"/>
    </xf>
    <xf numFmtId="0" fontId="5" fillId="0" borderId="2" xfId="0" applyFont="1" applyFill="1" applyBorder="1" applyAlignment="1">
      <alignment horizontal="center" vertical="center"/>
    </xf>
    <xf numFmtId="0" fontId="15" fillId="0" borderId="2" xfId="0" applyFont="1" applyBorder="1"/>
    <xf numFmtId="0" fontId="0" fillId="0" borderId="2" xfId="0" applyBorder="1"/>
    <xf numFmtId="0" fontId="0" fillId="0" borderId="3" xfId="0" applyBorder="1"/>
    <xf numFmtId="0" fontId="0" fillId="0" borderId="17" xfId="0" applyBorder="1"/>
    <xf numFmtId="49" fontId="0" fillId="0" borderId="0" xfId="0" applyNumberFormat="1"/>
    <xf numFmtId="14" fontId="42" fillId="9" borderId="0" xfId="11" applyNumberFormat="1" applyFill="1"/>
    <xf numFmtId="0" fontId="42" fillId="9" borderId="0" xfId="11" applyFill="1" applyAlignment="1">
      <alignment horizontal="center"/>
    </xf>
    <xf numFmtId="0" fontId="42" fillId="9" borderId="0" xfId="11" applyFill="1" applyAlignment="1">
      <alignment wrapText="1"/>
    </xf>
    <xf numFmtId="0" fontId="42" fillId="9" borderId="0" xfId="11" applyFill="1"/>
    <xf numFmtId="14" fontId="16" fillId="9" borderId="0" xfId="11" applyNumberFormat="1" applyFont="1" applyFill="1" applyAlignment="1">
      <alignment horizontal="center" wrapText="1"/>
    </xf>
    <xf numFmtId="0" fontId="16" fillId="9" borderId="0" xfId="11" applyFont="1" applyFill="1" applyAlignment="1">
      <alignment horizontal="center" wrapText="1"/>
    </xf>
    <xf numFmtId="0" fontId="31" fillId="9" borderId="0" xfId="11" applyFont="1" applyFill="1" applyAlignment="1">
      <alignment horizontal="center"/>
    </xf>
    <xf numFmtId="0" fontId="31" fillId="9" borderId="0" xfId="11" applyFont="1" applyFill="1" applyAlignment="1">
      <alignment wrapText="1"/>
    </xf>
    <xf numFmtId="0" fontId="42" fillId="0" borderId="0" xfId="11" applyFont="1" applyAlignment="1">
      <alignment wrapText="1"/>
    </xf>
    <xf numFmtId="0" fontId="42" fillId="0" borderId="0" xfId="11" applyFont="1" applyAlignment="1">
      <alignment horizontal="center"/>
    </xf>
    <xf numFmtId="0" fontId="45" fillId="0" borderId="0" xfId="11" applyFont="1" applyAlignment="1">
      <alignment wrapText="1"/>
    </xf>
    <xf numFmtId="44" fontId="24" fillId="0" borderId="7" xfId="11" applyNumberFormat="1" applyFont="1" applyBorder="1"/>
    <xf numFmtId="0" fontId="30" fillId="0" borderId="0" xfId="0" applyFont="1" applyFill="1" applyProtection="1">
      <protection locked="0"/>
    </xf>
    <xf numFmtId="0" fontId="8" fillId="0" borderId="0" xfId="0" applyFont="1" applyBorder="1"/>
    <xf numFmtId="0" fontId="8" fillId="0" borderId="0" xfId="0" applyFont="1" applyBorder="1" applyAlignment="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0" xfId="11" applyFont="1" applyFill="1" applyBorder="1" applyAlignment="1" applyProtection="1">
      <alignment wrapText="1"/>
    </xf>
    <xf numFmtId="0" fontId="5" fillId="0" borderId="2" xfId="0" applyFont="1" applyBorder="1"/>
    <xf numFmtId="0" fontId="6" fillId="4" borderId="3" xfId="0" applyFont="1" applyFill="1" applyBorder="1" applyAlignment="1">
      <alignment wrapText="1"/>
    </xf>
    <xf numFmtId="0" fontId="6" fillId="4" borderId="4" xfId="0" applyFont="1" applyFill="1" applyBorder="1" applyAlignment="1">
      <alignment wrapText="1"/>
    </xf>
    <xf numFmtId="170" fontId="5" fillId="0" borderId="3" xfId="0" applyNumberFormat="1" applyFont="1" applyBorder="1" applyAlignment="1">
      <alignment horizontal="center" vertical="center"/>
    </xf>
    <xf numFmtId="0" fontId="8" fillId="0" borderId="20" xfId="0" applyFont="1" applyFill="1" applyBorder="1" applyAlignment="1">
      <alignment vertical="center" wrapText="1"/>
    </xf>
    <xf numFmtId="0" fontId="3" fillId="0" borderId="2" xfId="0" applyFont="1" applyFill="1" applyBorder="1" applyAlignment="1">
      <alignment horizontal="left" vertical="center"/>
    </xf>
    <xf numFmtId="0" fontId="12" fillId="7" borderId="2" xfId="0" applyFont="1" applyFill="1" applyBorder="1" applyAlignment="1">
      <alignment horizontal="center" vertical="center"/>
    </xf>
    <xf numFmtId="0" fontId="8" fillId="7" borderId="21" xfId="0" quotePrefix="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12" fillId="7" borderId="3" xfId="0" applyFont="1" applyFill="1" applyBorder="1" applyAlignment="1">
      <alignment horizontal="center" vertical="center"/>
    </xf>
    <xf numFmtId="0" fontId="12" fillId="7" borderId="16" xfId="0" applyFont="1" applyFill="1" applyBorder="1" applyAlignment="1">
      <alignment horizontal="center" vertical="center"/>
    </xf>
    <xf numFmtId="0" fontId="8" fillId="7" borderId="24" xfId="0" applyFont="1" applyFill="1" applyBorder="1" applyAlignment="1">
      <alignment horizontal="center" vertical="center" wrapText="1"/>
    </xf>
    <xf numFmtId="44" fontId="6" fillId="0" borderId="18" xfId="0" applyNumberFormat="1" applyFont="1" applyBorder="1" applyAlignment="1" applyProtection="1">
      <alignment horizontal="center" vertical="center"/>
      <protection locked="0"/>
    </xf>
    <xf numFmtId="166" fontId="0" fillId="0" borderId="14" xfId="3" applyNumberFormat="1" applyFont="1" applyBorder="1" applyAlignment="1">
      <alignment vertical="center" wrapText="1"/>
    </xf>
    <xf numFmtId="166" fontId="0" fillId="0" borderId="14" xfId="3" applyNumberFormat="1" applyFont="1" applyBorder="1" applyAlignment="1">
      <alignment vertical="center"/>
    </xf>
    <xf numFmtId="0" fontId="6" fillId="4" borderId="25" xfId="0" applyFont="1" applyFill="1" applyBorder="1" applyAlignment="1">
      <alignment horizontal="center" vertical="center" wrapText="1"/>
    </xf>
    <xf numFmtId="49" fontId="3" fillId="0" borderId="0" xfId="0" applyNumberFormat="1" applyFont="1" applyAlignment="1">
      <alignment horizontal="right"/>
    </xf>
    <xf numFmtId="0" fontId="5" fillId="0" borderId="0" xfId="0" applyFont="1" applyBorder="1" applyAlignment="1">
      <alignment horizontal="center"/>
    </xf>
    <xf numFmtId="0" fontId="22" fillId="8" borderId="0" xfId="0" applyFont="1" applyFill="1" applyAlignment="1">
      <alignment vertical="center"/>
    </xf>
    <xf numFmtId="43" fontId="15" fillId="0" borderId="23" xfId="0" applyNumberFormat="1" applyFont="1" applyBorder="1" applyAlignment="1">
      <alignment horizontal="center" vertical="center" wrapText="1"/>
    </xf>
    <xf numFmtId="2" fontId="15" fillId="0" borderId="23"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Font="1" applyBorder="1" applyAlignment="1">
      <alignment horizontal="center" vertical="top" wrapText="1"/>
    </xf>
    <xf numFmtId="0" fontId="5" fillId="0" borderId="11" xfId="0" applyFont="1" applyBorder="1" applyAlignment="1">
      <alignment horizontal="center" vertical="center"/>
    </xf>
    <xf numFmtId="0" fontId="8" fillId="0" borderId="11" xfId="0" applyFont="1" applyBorder="1" applyAlignment="1">
      <alignment horizontal="center" vertical="top" wrapText="1"/>
    </xf>
    <xf numFmtId="2"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3" fontId="15" fillId="0" borderId="26" xfId="0" applyNumberFormat="1" applyFont="1" applyBorder="1" applyAlignment="1">
      <alignment horizontal="center" vertical="center"/>
    </xf>
    <xf numFmtId="2" fontId="15" fillId="0" borderId="5" xfId="0" applyNumberFormat="1" applyFont="1" applyBorder="1" applyAlignment="1">
      <alignment horizontal="center" vertical="center"/>
    </xf>
    <xf numFmtId="37" fontId="15" fillId="0" borderId="23" xfId="0" applyNumberFormat="1" applyFont="1" applyBorder="1" applyAlignment="1">
      <alignment horizontal="center" vertical="center"/>
    </xf>
    <xf numFmtId="0" fontId="5" fillId="4" borderId="14" xfId="0" applyFont="1" applyFill="1" applyBorder="1" applyAlignment="1">
      <alignment horizontal="center" vertical="center"/>
    </xf>
    <xf numFmtId="0" fontId="5" fillId="0" borderId="14" xfId="0" applyFont="1" applyBorder="1"/>
    <xf numFmtId="0" fontId="35" fillId="10" borderId="0" xfId="0" applyFont="1" applyFill="1"/>
    <xf numFmtId="2" fontId="35" fillId="11" borderId="23" xfId="0" applyNumberFormat="1" applyFont="1" applyFill="1" applyBorder="1" applyAlignment="1">
      <alignment horizontal="center" vertical="center"/>
    </xf>
    <xf numFmtId="2" fontId="35" fillId="12" borderId="23" xfId="0" applyNumberFormat="1" applyFont="1" applyFill="1" applyBorder="1" applyAlignment="1">
      <alignment horizontal="center" vertical="center"/>
    </xf>
    <xf numFmtId="0" fontId="0" fillId="12" borderId="8" xfId="0" applyFill="1" applyBorder="1"/>
    <xf numFmtId="0" fontId="35" fillId="13" borderId="8" xfId="0" applyFont="1" applyFill="1" applyBorder="1"/>
    <xf numFmtId="0" fontId="0" fillId="13" borderId="8" xfId="0" applyFill="1" applyBorder="1"/>
    <xf numFmtId="0" fontId="35" fillId="0" borderId="0" xfId="0" applyFont="1" applyFill="1"/>
    <xf numFmtId="169" fontId="3" fillId="0" borderId="0" xfId="8" applyNumberFormat="1" applyFont="1" applyFill="1"/>
    <xf numFmtId="168" fontId="3" fillId="0" borderId="0" xfId="8" applyNumberFormat="1" applyFont="1" applyFill="1"/>
    <xf numFmtId="2" fontId="5" fillId="0" borderId="0" xfId="0" applyNumberFormat="1" applyFont="1"/>
    <xf numFmtId="14" fontId="5" fillId="0" borderId="0" xfId="0" applyNumberFormat="1" applyFont="1"/>
    <xf numFmtId="0" fontId="34" fillId="0" borderId="0" xfId="0" applyFont="1"/>
    <xf numFmtId="2" fontId="3" fillId="3" borderId="0" xfId="8" applyNumberFormat="1" applyFont="1"/>
    <xf numFmtId="0" fontId="12" fillId="0" borderId="0" xfId="0" applyFont="1"/>
    <xf numFmtId="2" fontId="35" fillId="13" borderId="23" xfId="0" applyNumberFormat="1" applyFont="1" applyFill="1" applyBorder="1" applyAlignment="1">
      <alignment horizontal="center" vertical="center"/>
    </xf>
    <xf numFmtId="2" fontId="3" fillId="0" borderId="0" xfId="8" applyNumberFormat="1" applyFont="1" applyFill="1"/>
    <xf numFmtId="39" fontId="6" fillId="0" borderId="2" xfId="1" applyNumberFormat="1" applyFont="1" applyFill="1" applyBorder="1" applyAlignment="1" applyProtection="1">
      <alignment horizontal="center" vertical="center"/>
      <protection locked="0"/>
    </xf>
    <xf numFmtId="39" fontId="6" fillId="0" borderId="2" xfId="1" applyNumberFormat="1" applyFont="1" applyBorder="1" applyAlignment="1" applyProtection="1">
      <alignment horizontal="center" vertical="center"/>
      <protection locked="0"/>
    </xf>
    <xf numFmtId="0" fontId="0" fillId="14" borderId="17" xfId="0" applyFill="1" applyBorder="1"/>
    <xf numFmtId="0" fontId="9" fillId="0" borderId="0" xfId="0" applyFont="1" applyAlignment="1">
      <alignment vertical="center"/>
    </xf>
    <xf numFmtId="0" fontId="5" fillId="0" borderId="0" xfId="0" applyFont="1" applyAlignment="1">
      <alignment vertical="center"/>
    </xf>
    <xf numFmtId="5" fontId="46" fillId="0" borderId="0" xfId="11" applyNumberFormat="1" applyFont="1"/>
    <xf numFmtId="0" fontId="44" fillId="0" borderId="0" xfId="11" applyFont="1"/>
    <xf numFmtId="0" fontId="5" fillId="0" borderId="0" xfId="0" applyFont="1" applyAlignment="1">
      <alignment horizontal="center" vertical="top"/>
    </xf>
    <xf numFmtId="0" fontId="5" fillId="0" borderId="0" xfId="0" applyFont="1" applyFill="1" applyBorder="1" applyAlignment="1">
      <alignment horizontal="left" vertical="center"/>
    </xf>
    <xf numFmtId="0" fontId="12" fillId="0" borderId="0" xfId="0" applyFont="1" applyBorder="1"/>
    <xf numFmtId="0" fontId="3" fillId="0" borderId="0" xfId="0" applyFont="1"/>
    <xf numFmtId="0" fontId="0" fillId="0" borderId="0" xfId="0" applyAlignment="1">
      <alignment horizontal="center"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xf numFmtId="0" fontId="6" fillId="0" borderId="0" xfId="0" quotePrefix="1" applyFont="1" applyAlignment="1">
      <alignment horizontal="left"/>
    </xf>
    <xf numFmtId="0" fontId="0" fillId="0" borderId="0" xfId="0" applyAlignment="1">
      <alignment vertical="top"/>
    </xf>
    <xf numFmtId="0" fontId="3" fillId="0" borderId="0" xfId="0" applyFont="1" applyAlignment="1">
      <alignment vertical="top"/>
    </xf>
    <xf numFmtId="2" fontId="3" fillId="0" borderId="23" xfId="0" applyNumberFormat="1" applyFont="1" applyBorder="1" applyAlignment="1">
      <alignment horizontal="center" vertical="center"/>
    </xf>
    <xf numFmtId="7" fontId="3" fillId="0" borderId="27" xfId="0" applyNumberFormat="1" applyFont="1" applyBorder="1" applyAlignment="1">
      <alignment horizontal="center" vertical="center"/>
    </xf>
    <xf numFmtId="0" fontId="6" fillId="5" borderId="5" xfId="11" applyFont="1" applyFill="1" applyBorder="1" applyAlignment="1" applyProtection="1">
      <protection locked="0"/>
    </xf>
    <xf numFmtId="168" fontId="3" fillId="3" borderId="0" xfId="8" applyNumberFormat="1" applyFont="1" applyProtection="1">
      <protection locked="0"/>
    </xf>
    <xf numFmtId="169" fontId="3" fillId="3" borderId="0" xfId="8" applyNumberFormat="1" applyFont="1" applyProtection="1">
      <protection locked="0"/>
    </xf>
    <xf numFmtId="0" fontId="6" fillId="5" borderId="5" xfId="11" applyFont="1" applyFill="1" applyBorder="1" applyAlignment="1" applyProtection="1"/>
    <xf numFmtId="44" fontId="42" fillId="0" borderId="0" xfId="11" applyNumberFormat="1"/>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165" fontId="24" fillId="0" borderId="7" xfId="2" applyNumberFormat="1" applyFont="1" applyBorder="1" applyAlignment="1">
      <alignment horizontal="right"/>
    </xf>
    <xf numFmtId="43" fontId="5" fillId="15" borderId="2" xfId="1" applyFont="1" applyFill="1" applyBorder="1" applyAlignment="1" applyProtection="1">
      <alignment horizontal="center" vertical="center"/>
      <protection locked="0"/>
    </xf>
    <xf numFmtId="0" fontId="5" fillId="15" borderId="2" xfId="0" applyFont="1" applyFill="1" applyBorder="1" applyAlignment="1" applyProtection="1">
      <alignment horizontal="center" vertical="center"/>
      <protection locked="0"/>
    </xf>
    <xf numFmtId="164" fontId="5" fillId="15" borderId="2" xfId="0" applyNumberFormat="1" applyFont="1" applyFill="1" applyBorder="1" applyAlignment="1" applyProtection="1">
      <alignment horizontal="center" vertical="center"/>
      <protection locked="0"/>
    </xf>
    <xf numFmtId="165" fontId="5" fillId="15" borderId="2" xfId="1" applyNumberFormat="1" applyFont="1" applyFill="1" applyBorder="1" applyAlignment="1" applyProtection="1">
      <alignment horizontal="center" vertical="center"/>
      <protection locked="0"/>
    </xf>
    <xf numFmtId="44" fontId="5" fillId="15" borderId="2" xfId="0" applyNumberFormat="1" applyFont="1" applyFill="1" applyBorder="1" applyAlignment="1" applyProtection="1">
      <alignment horizontal="center" vertical="center"/>
      <protection locked="0"/>
    </xf>
    <xf numFmtId="0" fontId="39" fillId="15" borderId="2" xfId="0" applyFont="1" applyFill="1" applyBorder="1" applyAlignment="1" applyProtection="1">
      <alignment horizontal="center" vertical="center"/>
      <protection locked="0"/>
    </xf>
    <xf numFmtId="39" fontId="39" fillId="15" borderId="2" xfId="1" applyNumberFormat="1" applyFont="1" applyFill="1" applyBorder="1" applyAlignment="1" applyProtection="1">
      <alignment horizontal="center" vertical="center"/>
      <protection locked="0"/>
    </xf>
    <xf numFmtId="0" fontId="39" fillId="15" borderId="3" xfId="0" applyFont="1" applyFill="1" applyBorder="1" applyAlignment="1" applyProtection="1">
      <alignment horizontal="center" vertical="center"/>
      <protection locked="0"/>
    </xf>
    <xf numFmtId="0" fontId="39" fillId="15" borderId="30" xfId="0" applyFont="1" applyFill="1" applyBorder="1" applyAlignment="1" applyProtection="1">
      <alignment horizontal="center" vertical="center"/>
      <protection locked="0"/>
    </xf>
    <xf numFmtId="39" fontId="39" fillId="15" borderId="30" xfId="1" applyNumberFormat="1" applyFont="1" applyFill="1" applyBorder="1" applyAlignment="1" applyProtection="1">
      <alignment horizontal="center" vertical="center"/>
      <protection locked="0"/>
    </xf>
    <xf numFmtId="0" fontId="39" fillId="15" borderId="31" xfId="0" applyFont="1" applyFill="1" applyBorder="1" applyAlignment="1" applyProtection="1">
      <alignment horizontal="center" vertical="center"/>
      <protection locked="0"/>
    </xf>
    <xf numFmtId="49" fontId="39" fillId="15" borderId="2" xfId="0" applyNumberFormat="1"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protection locked="0"/>
    </xf>
    <xf numFmtId="43" fontId="5" fillId="15" borderId="30" xfId="1" applyFont="1" applyFill="1" applyBorder="1" applyAlignment="1" applyProtection="1">
      <alignment horizontal="center" vertical="center"/>
      <protection locked="0"/>
    </xf>
    <xf numFmtId="0" fontId="5" fillId="15" borderId="32" xfId="0" applyFont="1" applyFill="1" applyBorder="1" applyAlignment="1" applyProtection="1">
      <alignment horizontal="center" vertical="center"/>
      <protection locked="0"/>
    </xf>
    <xf numFmtId="0" fontId="5" fillId="15" borderId="16" xfId="0" applyFont="1" applyFill="1" applyBorder="1" applyAlignment="1" applyProtection="1">
      <alignment horizontal="center" vertical="center"/>
      <protection locked="0"/>
    </xf>
    <xf numFmtId="44" fontId="5" fillId="15" borderId="18" xfId="0" applyNumberFormat="1" applyFont="1" applyFill="1" applyBorder="1" applyAlignment="1" applyProtection="1">
      <alignment horizontal="center" vertical="center"/>
      <protection locked="0"/>
    </xf>
    <xf numFmtId="0" fontId="5" fillId="15" borderId="33"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protection locked="0"/>
    </xf>
    <xf numFmtId="164" fontId="5" fillId="15" borderId="30" xfId="0" applyNumberFormat="1" applyFont="1" applyFill="1" applyBorder="1" applyAlignment="1" applyProtection="1">
      <alignment horizontal="center" vertical="center"/>
      <protection locked="0"/>
    </xf>
    <xf numFmtId="165" fontId="5" fillId="15" borderId="30" xfId="1" applyNumberFormat="1" applyFont="1" applyFill="1" applyBorder="1" applyAlignment="1" applyProtection="1">
      <alignment horizontal="center" vertical="center"/>
      <protection locked="0"/>
    </xf>
    <xf numFmtId="44" fontId="5" fillId="15" borderId="30" xfId="0" applyNumberFormat="1" applyFont="1" applyFill="1" applyBorder="1" applyAlignment="1" applyProtection="1">
      <alignment horizontal="center" vertical="center"/>
      <protection locked="0"/>
    </xf>
    <xf numFmtId="44" fontId="5" fillId="15" borderId="32" xfId="0" applyNumberFormat="1" applyFont="1" applyFill="1" applyBorder="1" applyAlignment="1" applyProtection="1">
      <alignment horizontal="center" vertical="center"/>
      <protection locked="0"/>
    </xf>
    <xf numFmtId="0" fontId="39" fillId="15" borderId="2" xfId="4" applyNumberFormat="1" applyFont="1" applyFill="1" applyBorder="1" applyAlignment="1" applyProtection="1">
      <alignment horizontal="center" vertical="center"/>
      <protection locked="0"/>
    </xf>
    <xf numFmtId="0" fontId="39" fillId="15" borderId="2" xfId="0" applyNumberFormat="1" applyFont="1" applyFill="1" applyBorder="1" applyAlignment="1" applyProtection="1">
      <alignment horizontal="center" vertical="center"/>
      <protection locked="0"/>
    </xf>
    <xf numFmtId="0" fontId="39" fillId="15" borderId="30" xfId="4" applyNumberFormat="1" applyFont="1" applyFill="1" applyBorder="1" applyAlignment="1" applyProtection="1">
      <alignment horizontal="center" vertical="center"/>
      <protection locked="0"/>
    </xf>
    <xf numFmtId="0" fontId="39" fillId="15" borderId="30" xfId="0" applyNumberFormat="1" applyFont="1" applyFill="1" applyBorder="1" applyAlignment="1" applyProtection="1">
      <alignment horizontal="center" vertical="center"/>
      <protection locked="0"/>
    </xf>
    <xf numFmtId="0" fontId="39" fillId="15" borderId="16" xfId="0" applyFont="1" applyFill="1" applyBorder="1" applyAlignment="1" applyProtection="1">
      <alignment horizontal="center" vertical="center"/>
      <protection locked="0"/>
    </xf>
    <xf numFmtId="0" fontId="39" fillId="15" borderId="33" xfId="0" applyFont="1" applyFill="1" applyBorder="1" applyAlignment="1" applyProtection="1">
      <alignment horizontal="center" vertical="center"/>
      <protection locked="0"/>
    </xf>
    <xf numFmtId="49" fontId="39" fillId="15" borderId="3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8" xfId="0" applyFont="1" applyFill="1" applyBorder="1" applyAlignment="1">
      <alignment horizontal="center" vertical="top" wrapText="1"/>
    </xf>
    <xf numFmtId="167" fontId="5" fillId="0" borderId="30" xfId="0"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43" fontId="5" fillId="0" borderId="2" xfId="1" applyFont="1" applyFill="1" applyBorder="1" applyAlignment="1">
      <alignment horizontal="center" vertical="center"/>
    </xf>
    <xf numFmtId="44" fontId="5" fillId="0" borderId="30" xfId="0" applyNumberFormat="1" applyFont="1" applyFill="1" applyBorder="1" applyAlignment="1">
      <alignment horizontal="center" vertical="center"/>
    </xf>
    <xf numFmtId="43" fontId="5" fillId="0" borderId="30" xfId="1"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3" xfId="0" applyFont="1" applyFill="1" applyBorder="1" applyAlignment="1">
      <alignment horizontal="center" vertical="top" wrapText="1"/>
    </xf>
    <xf numFmtId="0" fontId="39" fillId="0" borderId="16" xfId="0" quotePrefix="1" applyFont="1" applyFill="1" applyBorder="1" applyAlignment="1" applyProtection="1">
      <alignment vertical="center"/>
    </xf>
    <xf numFmtId="44" fontId="39" fillId="0" borderId="16" xfId="4" applyFont="1" applyFill="1" applyBorder="1" applyAlignment="1">
      <alignment horizontal="right" vertical="center"/>
    </xf>
    <xf numFmtId="44" fontId="39" fillId="0" borderId="2" xfId="4" applyFont="1" applyFill="1" applyBorder="1" applyAlignment="1">
      <alignment horizontal="right" vertical="center"/>
    </xf>
    <xf numFmtId="44" fontId="39" fillId="0" borderId="33" xfId="4" applyFont="1" applyFill="1" applyBorder="1" applyAlignment="1">
      <alignment horizontal="right" vertical="center"/>
    </xf>
    <xf numFmtId="44" fontId="39" fillId="0" borderId="30" xfId="4" applyFont="1" applyFill="1" applyBorder="1" applyAlignment="1">
      <alignment horizontal="right" vertical="center"/>
    </xf>
    <xf numFmtId="0" fontId="39" fillId="0" borderId="33" xfId="0" quotePrefix="1" applyFont="1" applyFill="1" applyBorder="1" applyAlignment="1" applyProtection="1">
      <alignment vertical="center"/>
    </xf>
    <xf numFmtId="7" fontId="15" fillId="0" borderId="0" xfId="0" applyNumberFormat="1" applyFont="1" applyBorder="1" applyAlignment="1">
      <alignment vertical="center"/>
    </xf>
    <xf numFmtId="0" fontId="35" fillId="11" borderId="11" xfId="0" applyFont="1" applyFill="1" applyBorder="1"/>
    <xf numFmtId="0" fontId="0" fillId="11" borderId="13" xfId="0" applyFill="1" applyBorder="1"/>
    <xf numFmtId="0" fontId="35" fillId="11" borderId="13" xfId="0" applyFont="1" applyFill="1" applyBorder="1" applyAlignment="1">
      <alignment horizontal="center"/>
    </xf>
    <xf numFmtId="0" fontId="35" fillId="11" borderId="34" xfId="0" applyFont="1" applyFill="1" applyBorder="1" applyAlignment="1">
      <alignment horizontal="center"/>
    </xf>
    <xf numFmtId="0" fontId="0" fillId="11" borderId="35" xfId="0" applyFill="1" applyBorder="1"/>
    <xf numFmtId="0" fontId="35" fillId="11" borderId="0" xfId="0" applyFont="1" applyFill="1" applyBorder="1" applyAlignment="1">
      <alignment horizontal="right" vertical="center"/>
    </xf>
    <xf numFmtId="166" fontId="36" fillId="11" borderId="26" xfId="2" applyNumberFormat="1" applyFont="1" applyFill="1" applyBorder="1" applyAlignment="1">
      <alignment horizontal="center" vertical="center"/>
    </xf>
    <xf numFmtId="0" fontId="0" fillId="11" borderId="36" xfId="0" applyFill="1" applyBorder="1"/>
    <xf numFmtId="0" fontId="35" fillId="11" borderId="8" xfId="0" applyFont="1" applyFill="1" applyBorder="1" applyAlignment="1">
      <alignment horizontal="right" vertical="center"/>
    </xf>
    <xf numFmtId="170" fontId="35" fillId="11" borderId="8" xfId="0" applyNumberFormat="1" applyFont="1" applyFill="1" applyBorder="1" applyAlignment="1">
      <alignment horizontal="center" vertical="center"/>
    </xf>
    <xf numFmtId="170" fontId="35" fillId="11" borderId="32" xfId="0" applyNumberFormat="1" applyFont="1" applyFill="1" applyBorder="1" applyAlignment="1">
      <alignment horizontal="center" vertical="center"/>
    </xf>
    <xf numFmtId="0" fontId="35" fillId="12" borderId="11" xfId="0" applyFont="1" applyFill="1" applyBorder="1"/>
    <xf numFmtId="0" fontId="0" fillId="12" borderId="13" xfId="0" applyFill="1" applyBorder="1"/>
    <xf numFmtId="0" fontId="35" fillId="12" borderId="13" xfId="0" applyFont="1" applyFill="1" applyBorder="1" applyAlignment="1">
      <alignment horizontal="center"/>
    </xf>
    <xf numFmtId="0" fontId="35" fillId="12" borderId="34" xfId="0" applyFont="1" applyFill="1" applyBorder="1" applyAlignment="1">
      <alignment horizontal="center"/>
    </xf>
    <xf numFmtId="0" fontId="0" fillId="12" borderId="35" xfId="0" applyFill="1" applyBorder="1"/>
    <xf numFmtId="0" fontId="0" fillId="12" borderId="0" xfId="0" applyFill="1" applyBorder="1"/>
    <xf numFmtId="0" fontId="35" fillId="12" borderId="0" xfId="0" applyFont="1" applyFill="1" applyBorder="1" applyAlignment="1">
      <alignment horizontal="right" vertical="center"/>
    </xf>
    <xf numFmtId="166" fontId="36" fillId="12" borderId="26" xfId="2" applyNumberFormat="1" applyFont="1" applyFill="1" applyBorder="1" applyAlignment="1">
      <alignment horizontal="center" vertical="center"/>
    </xf>
    <xf numFmtId="0" fontId="0" fillId="12" borderId="36" xfId="0" applyFill="1" applyBorder="1"/>
    <xf numFmtId="0" fontId="35" fillId="12" borderId="8" xfId="0" applyFont="1" applyFill="1" applyBorder="1" applyAlignment="1">
      <alignment horizontal="right" vertical="center"/>
    </xf>
    <xf numFmtId="170" fontId="35" fillId="12" borderId="8" xfId="0" applyNumberFormat="1" applyFont="1" applyFill="1" applyBorder="1" applyAlignment="1">
      <alignment horizontal="center" vertical="center"/>
    </xf>
    <xf numFmtId="170" fontId="35" fillId="12" borderId="32" xfId="0" applyNumberFormat="1" applyFont="1" applyFill="1" applyBorder="1" applyAlignment="1">
      <alignment horizontal="center" vertical="center"/>
    </xf>
    <xf numFmtId="0" fontId="35" fillId="13" borderId="11" xfId="0" applyFont="1" applyFill="1" applyBorder="1"/>
    <xf numFmtId="0" fontId="0" fillId="13" borderId="13" xfId="0" applyFill="1" applyBorder="1"/>
    <xf numFmtId="0" fontId="35" fillId="13" borderId="13" xfId="0" applyFont="1" applyFill="1" applyBorder="1" applyAlignment="1">
      <alignment horizontal="center"/>
    </xf>
    <xf numFmtId="0" fontId="35" fillId="13" borderId="34" xfId="0" applyFont="1" applyFill="1" applyBorder="1" applyAlignment="1">
      <alignment horizontal="center"/>
    </xf>
    <xf numFmtId="0" fontId="3" fillId="13" borderId="35" xfId="0" applyFont="1" applyFill="1" applyBorder="1"/>
    <xf numFmtId="0" fontId="0" fillId="13" borderId="0" xfId="0" applyFill="1" applyBorder="1"/>
    <xf numFmtId="0" fontId="35" fillId="13" borderId="0" xfId="0" applyFont="1" applyFill="1" applyBorder="1" applyAlignment="1">
      <alignment horizontal="right" vertical="center"/>
    </xf>
    <xf numFmtId="166" fontId="35" fillId="13" borderId="26" xfId="0" applyNumberFormat="1" applyFont="1" applyFill="1" applyBorder="1" applyAlignment="1">
      <alignment horizontal="center" vertical="center"/>
    </xf>
    <xf numFmtId="0" fontId="0" fillId="13" borderId="36" xfId="0" applyFill="1" applyBorder="1"/>
    <xf numFmtId="0" fontId="35" fillId="13" borderId="8" xfId="0" applyFont="1" applyFill="1" applyBorder="1" applyAlignment="1">
      <alignment horizontal="right" vertical="center"/>
    </xf>
    <xf numFmtId="170" fontId="35" fillId="13" borderId="32"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3" xfId="0" applyFont="1" applyFill="1" applyBorder="1" applyAlignment="1">
      <alignment vertical="center"/>
    </xf>
    <xf numFmtId="0" fontId="4" fillId="4" borderId="34" xfId="0" applyFont="1" applyFill="1" applyBorder="1" applyAlignment="1">
      <alignment vertical="center"/>
    </xf>
    <xf numFmtId="0" fontId="37" fillId="4" borderId="11" xfId="0" applyFont="1" applyFill="1" applyBorder="1" applyAlignment="1">
      <alignment vertical="center"/>
    </xf>
    <xf numFmtId="0" fontId="37" fillId="4" borderId="13" xfId="0" applyFont="1" applyFill="1" applyBorder="1" applyAlignment="1">
      <alignment vertical="center"/>
    </xf>
    <xf numFmtId="0" fontId="37" fillId="4" borderId="34" xfId="0" applyFont="1" applyFill="1" applyBorder="1" applyAlignment="1">
      <alignment vertical="center"/>
    </xf>
    <xf numFmtId="0" fontId="5" fillId="4" borderId="37" xfId="0" applyFont="1" applyFill="1" applyBorder="1" applyAlignment="1">
      <alignment horizontal="center" vertical="center"/>
    </xf>
    <xf numFmtId="0" fontId="5" fillId="0" borderId="34" xfId="0" applyFont="1" applyBorder="1"/>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43" fontId="15" fillId="0" borderId="42" xfId="0" applyNumberFormat="1" applyFont="1" applyBorder="1" applyAlignment="1">
      <alignment horizontal="center" vertical="center" wrapText="1"/>
    </xf>
    <xf numFmtId="0" fontId="15" fillId="0" borderId="42" xfId="0" applyNumberFormat="1" applyFont="1" applyBorder="1" applyAlignment="1">
      <alignment horizontal="center" vertical="center" wrapText="1"/>
    </xf>
    <xf numFmtId="2" fontId="15" fillId="0" borderId="43" xfId="0" applyNumberFormat="1" applyFont="1" applyBorder="1" applyAlignment="1">
      <alignment horizontal="center" vertical="center"/>
    </xf>
    <xf numFmtId="7" fontId="15" fillId="0" borderId="26"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8" fillId="0" borderId="34" xfId="0" applyFont="1" applyBorder="1" applyAlignment="1">
      <alignment horizontal="center" vertical="top" wrapText="1"/>
    </xf>
    <xf numFmtId="41" fontId="15"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5" fillId="0" borderId="22" xfId="0" applyFont="1" applyBorder="1"/>
    <xf numFmtId="0" fontId="5" fillId="0" borderId="27" xfId="0" applyFont="1" applyBorder="1"/>
    <xf numFmtId="43" fontId="15" fillId="0" borderId="46" xfId="0" applyNumberFormat="1" applyFont="1" applyBorder="1" applyAlignment="1">
      <alignment horizontal="center" vertical="center" wrapText="1"/>
    </xf>
    <xf numFmtId="43" fontId="15" fillId="0" borderId="47" xfId="0" applyNumberFormat="1" applyFont="1" applyBorder="1" applyAlignment="1">
      <alignment horizontal="center" vertical="center" wrapText="1"/>
    </xf>
    <xf numFmtId="2" fontId="3" fillId="0" borderId="47" xfId="0" applyNumberFormat="1" applyFont="1" applyBorder="1" applyAlignment="1">
      <alignment horizontal="center" vertical="center"/>
    </xf>
    <xf numFmtId="1" fontId="15" fillId="0" borderId="48" xfId="0" applyNumberFormat="1" applyFont="1" applyBorder="1" applyAlignment="1">
      <alignment horizontal="center" vertical="center"/>
    </xf>
    <xf numFmtId="0" fontId="8" fillId="0" borderId="13" xfId="0" applyFont="1" applyBorder="1" applyAlignment="1">
      <alignment horizontal="center" vertical="top" wrapText="1"/>
    </xf>
    <xf numFmtId="41" fontId="15" fillId="0" borderId="5" xfId="0" applyNumberFormat="1" applyFont="1" applyBorder="1" applyAlignment="1">
      <alignment horizontal="center" vertical="center" wrapText="1"/>
    </xf>
    <xf numFmtId="0" fontId="5" fillId="4" borderId="49" xfId="0" applyFont="1" applyFill="1" applyBorder="1" applyAlignment="1">
      <alignment horizontal="center" vertical="center"/>
    </xf>
    <xf numFmtId="0" fontId="15" fillId="0" borderId="46" xfId="0" applyNumberFormat="1" applyFont="1" applyBorder="1" applyAlignment="1">
      <alignment horizontal="center" vertical="center" wrapText="1"/>
    </xf>
    <xf numFmtId="2" fontId="15" fillId="0" borderId="47" xfId="0" applyNumberFormat="1" applyFont="1" applyBorder="1" applyAlignment="1">
      <alignment horizontal="center" vertical="center" wrapText="1"/>
    </xf>
    <xf numFmtId="0" fontId="15" fillId="0" borderId="47" xfId="0" applyFont="1" applyBorder="1" applyAlignment="1">
      <alignment horizontal="center" vertical="center" wrapText="1"/>
    </xf>
    <xf numFmtId="2" fontId="15" fillId="0" borderId="47" xfId="0" applyNumberFormat="1" applyFont="1" applyBorder="1" applyAlignment="1">
      <alignment horizontal="center" vertical="center"/>
    </xf>
    <xf numFmtId="3" fontId="15" fillId="0" borderId="48" xfId="0" applyNumberFormat="1" applyFont="1" applyBorder="1" applyAlignment="1">
      <alignment horizontal="center" vertical="center"/>
    </xf>
    <xf numFmtId="166" fontId="35" fillId="13" borderId="26" xfId="0" applyNumberFormat="1" applyFont="1" applyFill="1" applyBorder="1" applyAlignment="1">
      <alignment horizontal="right" vertical="center"/>
    </xf>
    <xf numFmtId="0" fontId="5" fillId="0" borderId="25" xfId="0" applyFont="1" applyBorder="1"/>
    <xf numFmtId="0" fontId="5" fillId="0" borderId="13" xfId="0" applyFont="1" applyBorder="1" applyAlignment="1">
      <alignment horizontal="center" vertical="center"/>
    </xf>
    <xf numFmtId="41" fontId="15"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xf>
    <xf numFmtId="37" fontId="15" fillId="0" borderId="47" xfId="0" applyNumberFormat="1" applyFont="1" applyBorder="1" applyAlignment="1">
      <alignment horizontal="center" vertical="center"/>
    </xf>
    <xf numFmtId="7" fontId="3" fillId="0" borderId="50" xfId="0" applyNumberFormat="1" applyFont="1" applyBorder="1" applyAlignment="1">
      <alignment horizontal="center" vertical="center"/>
    </xf>
    <xf numFmtId="0" fontId="47" fillId="16" borderId="29" xfId="0" applyFont="1" applyFill="1" applyBorder="1" applyAlignment="1">
      <alignment horizontal="center" vertical="center"/>
    </xf>
    <xf numFmtId="0" fontId="5" fillId="16" borderId="28" xfId="0" applyFont="1" applyFill="1" applyBorder="1" applyAlignment="1">
      <alignment vertical="top"/>
    </xf>
    <xf numFmtId="0" fontId="5" fillId="16" borderId="4" xfId="0" applyFont="1" applyFill="1" applyBorder="1" applyAlignment="1">
      <alignment vertical="top"/>
    </xf>
    <xf numFmtId="0" fontId="47" fillId="16" borderId="51" xfId="0" applyFont="1" applyFill="1" applyBorder="1" applyAlignment="1">
      <alignment horizontal="center" vertical="center"/>
    </xf>
    <xf numFmtId="0" fontId="5" fillId="16" borderId="3" xfId="0" applyFont="1" applyFill="1" applyBorder="1" applyAlignment="1">
      <alignment vertical="top"/>
    </xf>
    <xf numFmtId="0" fontId="5" fillId="16" borderId="19" xfId="0" applyFont="1" applyFill="1" applyBorder="1" applyAlignment="1">
      <alignment horizontal="right" vertical="center"/>
    </xf>
    <xf numFmtId="0" fontId="5" fillId="16" borderId="4" xfId="0" applyFont="1" applyFill="1" applyBorder="1" applyAlignment="1">
      <alignment horizontal="left" vertical="center"/>
    </xf>
    <xf numFmtId="0" fontId="47" fillId="16" borderId="52" xfId="0" applyFont="1" applyFill="1" applyBorder="1" applyAlignment="1">
      <alignment horizontal="center" vertical="center"/>
    </xf>
    <xf numFmtId="0" fontId="5" fillId="16" borderId="5" xfId="0" applyFont="1" applyFill="1" applyBorder="1" applyAlignment="1">
      <alignment horizontal="left" vertical="center"/>
    </xf>
    <xf numFmtId="0" fontId="8" fillId="4" borderId="11" xfId="0" applyFont="1" applyFill="1" applyBorder="1" applyAlignment="1">
      <alignment horizontal="center" vertical="top" wrapText="1"/>
    </xf>
    <xf numFmtId="2" fontId="5" fillId="15" borderId="16" xfId="0" applyNumberFormat="1" applyFont="1" applyFill="1" applyBorder="1" applyAlignment="1" applyProtection="1">
      <alignment horizontal="center" vertical="center"/>
      <protection locked="0"/>
    </xf>
    <xf numFmtId="2" fontId="5" fillId="15" borderId="33" xfId="0" applyNumberFormat="1" applyFont="1" applyFill="1" applyBorder="1" applyAlignment="1" applyProtection="1">
      <alignment horizontal="center" vertical="center"/>
      <protection locked="0"/>
    </xf>
    <xf numFmtId="167" fontId="5" fillId="16" borderId="22" xfId="0" applyNumberFormat="1" applyFont="1" applyFill="1" applyBorder="1" applyAlignment="1">
      <alignment horizontal="right" vertical="center"/>
    </xf>
    <xf numFmtId="0" fontId="8" fillId="0" borderId="0" xfId="0" applyFont="1" applyAlignment="1">
      <alignment vertical="center"/>
    </xf>
    <xf numFmtId="0" fontId="8" fillId="0" borderId="9" xfId="0" applyFont="1" applyFill="1" applyBorder="1" applyAlignment="1">
      <alignment horizontal="center" vertical="top" wrapText="1"/>
    </xf>
    <xf numFmtId="0" fontId="8" fillId="0" borderId="24" xfId="0" applyFont="1" applyFill="1" applyBorder="1" applyAlignment="1">
      <alignment horizontal="center" vertical="top" wrapText="1"/>
    </xf>
    <xf numFmtId="0" fontId="39" fillId="0" borderId="55" xfId="0" quotePrefix="1" applyFont="1" applyFill="1" applyBorder="1" applyAlignment="1" applyProtection="1">
      <alignment vertical="center"/>
    </xf>
    <xf numFmtId="0" fontId="39" fillId="15" borderId="56" xfId="0" applyFont="1" applyFill="1" applyBorder="1" applyAlignment="1" applyProtection="1">
      <alignment horizontal="center" vertical="center"/>
      <protection locked="0"/>
    </xf>
    <xf numFmtId="39" fontId="39" fillId="15" borderId="56" xfId="1" applyNumberFormat="1" applyFont="1" applyFill="1" applyBorder="1" applyAlignment="1" applyProtection="1">
      <alignment horizontal="center" vertical="center"/>
      <protection locked="0"/>
    </xf>
    <xf numFmtId="0" fontId="39" fillId="15" borderId="57" xfId="0" applyFont="1" applyFill="1" applyBorder="1" applyAlignment="1" applyProtection="1">
      <alignment horizontal="center" vertical="center"/>
      <protection locked="0"/>
    </xf>
    <xf numFmtId="0" fontId="39" fillId="15" borderId="55" xfId="0" applyFont="1" applyFill="1" applyBorder="1" applyAlignment="1" applyProtection="1">
      <alignment horizontal="center" vertical="center"/>
      <protection locked="0"/>
    </xf>
    <xf numFmtId="49" fontId="39" fillId="15" borderId="56" xfId="0" applyNumberFormat="1" applyFont="1" applyFill="1" applyBorder="1" applyAlignment="1" applyProtection="1">
      <alignment horizontal="center" vertical="center" wrapText="1"/>
      <protection locked="0"/>
    </xf>
    <xf numFmtId="0" fontId="39" fillId="15" borderId="56" xfId="4" applyNumberFormat="1" applyFont="1" applyFill="1" applyBorder="1" applyAlignment="1" applyProtection="1">
      <alignment horizontal="center" vertical="center"/>
      <protection locked="0"/>
    </xf>
    <xf numFmtId="0" fontId="39" fillId="15" borderId="56" xfId="0" applyNumberFormat="1" applyFont="1" applyFill="1" applyBorder="1" applyAlignment="1" applyProtection="1">
      <alignment horizontal="center" vertical="center"/>
      <protection locked="0"/>
    </xf>
    <xf numFmtId="44" fontId="39" fillId="0" borderId="55" xfId="4" applyFont="1" applyFill="1" applyBorder="1" applyAlignment="1">
      <alignment horizontal="right" vertical="center"/>
    </xf>
    <xf numFmtId="44" fontId="39" fillId="0" borderId="56" xfId="4" applyFont="1" applyFill="1" applyBorder="1" applyAlignment="1">
      <alignment horizontal="right" vertical="center"/>
    </xf>
    <xf numFmtId="44" fontId="39" fillId="0" borderId="58" xfId="4" applyFont="1" applyFill="1" applyBorder="1" applyAlignment="1">
      <alignment horizontal="right" vertical="center"/>
    </xf>
    <xf numFmtId="0" fontId="5" fillId="16" borderId="4" xfId="0" applyFont="1" applyFill="1" applyBorder="1" applyAlignment="1">
      <alignment horizontal="left" vertical="top" wrapText="1"/>
    </xf>
    <xf numFmtId="0" fontId="3" fillId="0" borderId="0" xfId="0" applyFont="1" applyAlignment="1">
      <alignment horizontal="left" vertical="top" wrapText="1"/>
    </xf>
    <xf numFmtId="0" fontId="13" fillId="0" borderId="0"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0" xfId="0" applyFont="1" applyFill="1" applyBorder="1" applyAlignment="1">
      <alignment vertical="top" wrapText="1"/>
    </xf>
    <xf numFmtId="170" fontId="39" fillId="0" borderId="0" xfId="0" applyNumberFormat="1" applyFont="1" applyFill="1" applyBorder="1" applyAlignment="1">
      <alignment vertical="center"/>
    </xf>
    <xf numFmtId="0" fontId="39" fillId="0" borderId="78" xfId="0" applyFont="1" applyBorder="1" applyAlignment="1">
      <alignment horizontal="center" vertical="center"/>
    </xf>
    <xf numFmtId="0" fontId="40" fillId="4" borderId="80" xfId="0" applyFont="1" applyFill="1" applyBorder="1" applyAlignment="1">
      <alignment horizontal="center" vertical="top" wrapText="1"/>
    </xf>
    <xf numFmtId="0" fontId="40" fillId="4" borderId="59" xfId="0" applyFont="1" applyFill="1" applyBorder="1" applyAlignment="1">
      <alignment horizontal="center" vertical="top" wrapText="1"/>
    </xf>
    <xf numFmtId="0" fontId="39" fillId="0" borderId="81" xfId="0" applyFont="1" applyBorder="1" applyAlignment="1">
      <alignment horizontal="center" vertical="center"/>
    </xf>
    <xf numFmtId="171" fontId="39" fillId="15" borderId="3" xfId="4" applyNumberFormat="1" applyFont="1" applyFill="1" applyBorder="1" applyAlignment="1" applyProtection="1">
      <alignment horizontal="center" vertical="center"/>
      <protection locked="0"/>
    </xf>
    <xf numFmtId="171" fontId="39" fillId="15" borderId="31" xfId="4" applyNumberFormat="1" applyFont="1" applyFill="1" applyBorder="1" applyAlignment="1" applyProtection="1">
      <alignment horizontal="center" vertical="center"/>
      <protection locked="0"/>
    </xf>
    <xf numFmtId="0" fontId="4" fillId="4" borderId="11" xfId="0" quotePrefix="1" applyFont="1" applyFill="1" applyBorder="1" applyAlignment="1">
      <alignment vertical="center"/>
    </xf>
    <xf numFmtId="0" fontId="4" fillId="4" borderId="13" xfId="0" quotePrefix="1" applyFont="1" applyFill="1" applyBorder="1" applyAlignment="1">
      <alignment vertical="center"/>
    </xf>
    <xf numFmtId="0" fontId="4" fillId="4" borderId="34" xfId="0" quotePrefix="1" applyFont="1" applyFill="1" applyBorder="1" applyAlignment="1">
      <alignment vertical="center"/>
    </xf>
    <xf numFmtId="0" fontId="6" fillId="4" borderId="60" xfId="0" applyFont="1" applyFill="1" applyBorder="1" applyAlignment="1">
      <alignment vertical="top"/>
    </xf>
    <xf numFmtId="0" fontId="6" fillId="4" borderId="61" xfId="0" applyFont="1" applyFill="1" applyBorder="1" applyAlignment="1">
      <alignment vertical="top"/>
    </xf>
    <xf numFmtId="0" fontId="6" fillId="4" borderId="62" xfId="0" applyFont="1" applyFill="1" applyBorder="1" applyAlignment="1">
      <alignment vertical="top"/>
    </xf>
    <xf numFmtId="0" fontId="41" fillId="4" borderId="11" xfId="0" quotePrefix="1" applyFont="1" applyFill="1" applyBorder="1" applyAlignment="1">
      <alignment vertical="center"/>
    </xf>
    <xf numFmtId="0" fontId="41" fillId="4" borderId="13" xfId="0" quotePrefix="1" applyFont="1" applyFill="1" applyBorder="1" applyAlignment="1">
      <alignment vertical="center"/>
    </xf>
    <xf numFmtId="0" fontId="41" fillId="4" borderId="34" xfId="0" quotePrefix="1" applyFont="1" applyFill="1" applyBorder="1" applyAlignment="1">
      <alignment vertical="center"/>
    </xf>
    <xf numFmtId="167" fontId="5" fillId="16" borderId="19" xfId="0" applyNumberFormat="1" applyFont="1" applyFill="1" applyBorder="1" applyAlignment="1">
      <alignment horizontal="right" vertical="center"/>
    </xf>
    <xf numFmtId="0" fontId="47" fillId="16" borderId="51" xfId="0" applyFont="1" applyFill="1" applyBorder="1" applyAlignment="1">
      <alignment horizontal="left" vertical="center"/>
    </xf>
    <xf numFmtId="0" fontId="5" fillId="16" borderId="0" xfId="0" applyFont="1" applyFill="1" applyBorder="1" applyAlignment="1">
      <alignment horizontal="left" vertical="top" wrapText="1"/>
    </xf>
    <xf numFmtId="6" fontId="5" fillId="0" borderId="22"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5" fillId="16" borderId="19" xfId="0" applyFont="1" applyFill="1" applyBorder="1" applyAlignment="1">
      <alignment vertical="center"/>
    </xf>
    <xf numFmtId="49" fontId="8" fillId="4" borderId="82" xfId="0" applyNumberFormat="1" applyFont="1" applyFill="1" applyBorder="1" applyAlignment="1">
      <alignment vertical="center"/>
    </xf>
    <xf numFmtId="49" fontId="8" fillId="4" borderId="83" xfId="0" applyNumberFormat="1" applyFont="1" applyFill="1" applyBorder="1" applyAlignment="1">
      <alignment vertical="center"/>
    </xf>
    <xf numFmtId="49" fontId="8" fillId="4" borderId="84" xfId="0" applyNumberFormat="1" applyFont="1" applyFill="1" applyBorder="1" applyAlignment="1">
      <alignment vertical="center"/>
    </xf>
    <xf numFmtId="49" fontId="8" fillId="4" borderId="85" xfId="0" applyNumberFormat="1" applyFont="1" applyFill="1" applyBorder="1" applyAlignment="1">
      <alignment vertical="center"/>
    </xf>
    <xf numFmtId="171" fontId="39" fillId="15" borderId="57" xfId="4"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2" xfId="0" applyFont="1" applyBorder="1" applyAlignment="1">
      <alignment horizontal="center" vertical="center"/>
    </xf>
    <xf numFmtId="49" fontId="8" fillId="0" borderId="53"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2" fontId="5" fillId="15" borderId="55" xfId="0" applyNumberFormat="1" applyFont="1" applyFill="1" applyBorder="1" applyAlignment="1" applyProtection="1">
      <alignment horizontal="center" vertical="center"/>
      <protection locked="0"/>
    </xf>
    <xf numFmtId="43" fontId="5" fillId="15" borderId="56" xfId="1" applyFont="1" applyFill="1" applyBorder="1" applyAlignment="1" applyProtection="1">
      <alignment horizontal="center" vertical="center"/>
      <protection locked="0"/>
    </xf>
    <xf numFmtId="0" fontId="5" fillId="15" borderId="58" xfId="0" applyFont="1" applyFill="1" applyBorder="1" applyAlignment="1" applyProtection="1">
      <alignment horizontal="center" vertical="center"/>
      <protection locked="0"/>
    </xf>
    <xf numFmtId="44" fontId="5" fillId="0" borderId="56" xfId="0" applyNumberFormat="1" applyFont="1" applyFill="1" applyBorder="1" applyAlignment="1">
      <alignment horizontal="center" vertical="center"/>
    </xf>
    <xf numFmtId="43" fontId="5" fillId="0" borderId="56" xfId="1" applyFont="1" applyFill="1" applyBorder="1" applyAlignment="1">
      <alignment horizontal="center" vertical="center"/>
    </xf>
    <xf numFmtId="44" fontId="5" fillId="0" borderId="58"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8" fillId="0" borderId="63" xfId="0" applyFont="1" applyFill="1" applyBorder="1" applyAlignment="1">
      <alignment horizontal="center" vertical="top" wrapText="1"/>
    </xf>
    <xf numFmtId="44" fontId="5" fillId="0" borderId="17" xfId="0" applyNumberFormat="1" applyFont="1" applyFill="1" applyBorder="1" applyAlignment="1">
      <alignment horizontal="center" vertical="center"/>
    </xf>
    <xf numFmtId="44" fontId="5" fillId="0" borderId="65" xfId="0" applyNumberFormat="1" applyFont="1" applyFill="1" applyBorder="1" applyAlignment="1">
      <alignment horizontal="center" vertical="center"/>
    </xf>
    <xf numFmtId="0" fontId="5" fillId="15" borderId="42" xfId="0" applyFont="1" applyFill="1" applyBorder="1" applyAlignment="1" applyProtection="1">
      <alignment horizontal="center" vertical="center"/>
      <protection locked="0"/>
    </xf>
    <xf numFmtId="0" fontId="5" fillId="15" borderId="23" xfId="0" applyFont="1" applyFill="1" applyBorder="1" applyAlignment="1" applyProtection="1">
      <alignment horizontal="center" vertical="center"/>
      <protection locked="0"/>
    </xf>
    <xf numFmtId="164" fontId="5" fillId="15" borderId="23" xfId="0" applyNumberFormat="1" applyFont="1" applyFill="1" applyBorder="1" applyAlignment="1" applyProtection="1">
      <alignment horizontal="center" vertical="center"/>
      <protection locked="0"/>
    </xf>
    <xf numFmtId="167" fontId="5" fillId="0" borderId="23" xfId="0" applyNumberFormat="1" applyFont="1" applyFill="1" applyBorder="1" applyAlignment="1">
      <alignment horizontal="center" vertical="center"/>
    </xf>
    <xf numFmtId="165" fontId="5" fillId="15" borderId="23" xfId="1" applyNumberFormat="1" applyFont="1" applyFill="1" applyBorder="1" applyAlignment="1" applyProtection="1">
      <alignment horizontal="center" vertical="center"/>
      <protection locked="0"/>
    </xf>
    <xf numFmtId="44" fontId="5" fillId="15" borderId="23" xfId="0" applyNumberFormat="1" applyFont="1" applyFill="1" applyBorder="1" applyAlignment="1" applyProtection="1">
      <alignment horizontal="center" vertical="center"/>
      <protection locked="0"/>
    </xf>
    <xf numFmtId="44" fontId="5" fillId="15" borderId="26" xfId="0" applyNumberFormat="1" applyFont="1" applyFill="1" applyBorder="1" applyAlignment="1" applyProtection="1">
      <alignment horizontal="center" vertical="center"/>
      <protection locked="0"/>
    </xf>
    <xf numFmtId="0" fontId="8" fillId="0" borderId="33"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5" fillId="16" borderId="4" xfId="0" applyFont="1" applyFill="1" applyBorder="1" applyAlignment="1">
      <alignment horizontal="left" vertical="top"/>
    </xf>
    <xf numFmtId="0" fontId="8" fillId="4" borderId="14" xfId="0" applyFont="1" applyFill="1" applyBorder="1" applyAlignment="1">
      <alignment horizontal="center" vertical="top" wrapTex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0" fontId="5" fillId="0" borderId="86" xfId="0" applyFont="1" applyBorder="1" applyAlignment="1">
      <alignment horizontal="center" vertical="top" wrapText="1"/>
    </xf>
    <xf numFmtId="0" fontId="5" fillId="0" borderId="25" xfId="0" applyFont="1" applyBorder="1" applyAlignment="1">
      <alignment horizontal="center" vertical="top" wrapText="1"/>
    </xf>
    <xf numFmtId="49" fontId="5" fillId="0" borderId="0" xfId="0" applyNumberFormat="1" applyFont="1" applyFill="1" applyBorder="1" applyAlignment="1">
      <alignment horizontal="center" vertical="center"/>
    </xf>
    <xf numFmtId="0" fontId="5" fillId="16" borderId="5" xfId="0" applyFont="1" applyFill="1" applyBorder="1" applyAlignment="1">
      <alignment horizontal="left" vertical="top" wrapText="1"/>
    </xf>
    <xf numFmtId="170" fontId="6" fillId="0" borderId="25" xfId="0" applyNumberFormat="1" applyFont="1" applyFill="1" applyBorder="1" applyAlignment="1">
      <alignment horizontal="center" vertical="center"/>
    </xf>
    <xf numFmtId="0" fontId="5" fillId="0" borderId="69" xfId="0" applyFont="1" applyBorder="1" applyAlignment="1">
      <alignment horizontal="center" vertical="top" wrapText="1"/>
    </xf>
    <xf numFmtId="0" fontId="5" fillId="16" borderId="49" xfId="0" applyFont="1" applyFill="1" applyBorder="1" applyAlignment="1">
      <alignment horizontal="right" vertical="center"/>
    </xf>
    <xf numFmtId="0" fontId="5" fillId="16" borderId="28" xfId="0" applyFont="1" applyFill="1" applyBorder="1" applyAlignment="1">
      <alignment horizontal="left" vertical="center"/>
    </xf>
    <xf numFmtId="6" fontId="5" fillId="0" borderId="49" xfId="0" applyNumberFormat="1" applyFont="1" applyBorder="1" applyAlignment="1">
      <alignment horizontal="center" vertical="center"/>
    </xf>
    <xf numFmtId="0" fontId="5" fillId="0" borderId="87" xfId="0" applyFont="1" applyBorder="1" applyAlignment="1">
      <alignment horizontal="center" vertical="top" wrapText="1"/>
    </xf>
    <xf numFmtId="0" fontId="5" fillId="16" borderId="61" xfId="0" applyFont="1" applyFill="1" applyBorder="1" applyAlignment="1">
      <alignment vertical="top"/>
    </xf>
    <xf numFmtId="0" fontId="47" fillId="16" borderId="62" xfId="0" applyFont="1" applyFill="1" applyBorder="1" applyAlignment="1">
      <alignment horizontal="center" vertical="center"/>
    </xf>
    <xf numFmtId="0" fontId="5" fillId="16" borderId="60" xfId="0" applyFont="1" applyFill="1" applyBorder="1" applyAlignment="1">
      <alignment horizontal="right" vertical="center"/>
    </xf>
    <xf numFmtId="0" fontId="5" fillId="16" borderId="61" xfId="0" applyFont="1" applyFill="1" applyBorder="1" applyAlignment="1">
      <alignment horizontal="left" vertical="center"/>
    </xf>
    <xf numFmtId="6" fontId="5" fillId="0" borderId="60" xfId="0" applyNumberFormat="1" applyFont="1" applyBorder="1" applyAlignment="1">
      <alignment horizontal="center" vertical="center"/>
    </xf>
    <xf numFmtId="0" fontId="5" fillId="16" borderId="70" xfId="0" applyFont="1" applyFill="1" applyBorder="1" applyAlignment="1">
      <alignment vertical="top"/>
    </xf>
    <xf numFmtId="0" fontId="47" fillId="16" borderId="71" xfId="0" applyFont="1" applyFill="1" applyBorder="1" applyAlignment="1">
      <alignment horizontal="center" vertical="center"/>
    </xf>
    <xf numFmtId="0" fontId="5" fillId="16" borderId="72" xfId="0" applyFont="1" applyFill="1" applyBorder="1" applyAlignment="1">
      <alignment horizontal="right" vertical="center"/>
    </xf>
    <xf numFmtId="0" fontId="5" fillId="16" borderId="70" xfId="0" applyFont="1" applyFill="1" applyBorder="1" applyAlignment="1">
      <alignment horizontal="left" vertical="center"/>
    </xf>
    <xf numFmtId="6" fontId="5" fillId="0" borderId="72" xfId="0" applyNumberFormat="1" applyFont="1" applyBorder="1" applyAlignment="1">
      <alignment horizontal="center" vertical="center"/>
    </xf>
    <xf numFmtId="0" fontId="5" fillId="0" borderId="66" xfId="0" applyFont="1" applyBorder="1" applyAlignment="1">
      <alignment horizontal="center" vertical="top" wrapText="1"/>
    </xf>
    <xf numFmtId="0" fontId="5" fillId="16" borderId="5" xfId="0" applyFont="1" applyFill="1" applyBorder="1" applyAlignment="1">
      <alignment horizontal="left" vertical="top"/>
    </xf>
    <xf numFmtId="0" fontId="47" fillId="16" borderId="27" xfId="0" applyFont="1" applyFill="1" applyBorder="1" applyAlignment="1">
      <alignment horizontal="left" vertical="center"/>
    </xf>
    <xf numFmtId="0" fontId="5" fillId="16" borderId="22" xfId="0" applyFont="1" applyFill="1" applyBorder="1" applyAlignment="1">
      <alignment vertical="center"/>
    </xf>
    <xf numFmtId="0" fontId="5" fillId="16" borderId="5" xfId="0" applyFont="1" applyFill="1" applyBorder="1" applyAlignment="1">
      <alignment vertical="top"/>
    </xf>
    <xf numFmtId="0" fontId="5" fillId="16" borderId="72" xfId="0" applyFont="1" applyFill="1" applyBorder="1" applyAlignment="1">
      <alignment vertical="top"/>
    </xf>
    <xf numFmtId="0" fontId="5" fillId="0" borderId="68" xfId="0" applyFont="1" applyBorder="1" applyAlignment="1">
      <alignment horizontal="center" vertical="top"/>
    </xf>
    <xf numFmtId="0" fontId="5" fillId="16" borderId="54" xfId="0" applyFont="1" applyFill="1" applyBorder="1" applyAlignment="1">
      <alignment vertical="top"/>
    </xf>
    <xf numFmtId="0" fontId="5" fillId="0" borderId="73" xfId="0" applyFont="1" applyBorder="1" applyAlignment="1">
      <alignment horizontal="center" vertical="top" wrapText="1"/>
    </xf>
    <xf numFmtId="0" fontId="5" fillId="16" borderId="61" xfId="0" applyFont="1" applyFill="1" applyBorder="1" applyAlignment="1">
      <alignment horizontal="left" vertical="top"/>
    </xf>
    <xf numFmtId="0" fontId="5" fillId="16" borderId="61" xfId="0" applyFont="1" applyFill="1" applyBorder="1" applyAlignment="1">
      <alignment horizontal="left" vertical="top" wrapText="1"/>
    </xf>
    <xf numFmtId="0" fontId="47" fillId="16" borderId="62" xfId="0" applyFont="1" applyFill="1" applyBorder="1" applyAlignment="1">
      <alignment horizontal="left" vertical="center"/>
    </xf>
    <xf numFmtId="0" fontId="5" fillId="16" borderId="60" xfId="0" applyFont="1" applyFill="1" applyBorder="1" applyAlignment="1">
      <alignment vertical="center"/>
    </xf>
    <xf numFmtId="0" fontId="5" fillId="0" borderId="74" xfId="0" applyFont="1" applyBorder="1" applyAlignment="1">
      <alignment horizontal="center" vertical="top" wrapText="1"/>
    </xf>
    <xf numFmtId="0" fontId="5" fillId="16" borderId="72" xfId="0" applyFont="1" applyFill="1" applyBorder="1" applyAlignment="1">
      <alignment vertical="center"/>
    </xf>
    <xf numFmtId="14" fontId="0" fillId="0" borderId="0" xfId="0" applyNumberFormat="1"/>
    <xf numFmtId="0" fontId="40" fillId="4" borderId="47" xfId="0" applyFont="1" applyFill="1" applyBorder="1" applyAlignment="1">
      <alignment horizontal="center" vertical="top" wrapText="1"/>
    </xf>
    <xf numFmtId="0" fontId="3" fillId="0" borderId="0" xfId="0" applyFont="1" applyAlignment="1">
      <alignment horizontal="left" vertical="top" wrapText="1"/>
    </xf>
    <xf numFmtId="0" fontId="40" fillId="4" borderId="13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Alignment="1">
      <alignment horizontal="center"/>
    </xf>
    <xf numFmtId="1" fontId="15" fillId="0" borderId="26" xfId="0" applyNumberFormat="1" applyFont="1" applyBorder="1" applyAlignment="1">
      <alignment horizontal="left" vertical="center"/>
    </xf>
    <xf numFmtId="0" fontId="15" fillId="0" borderId="23" xfId="0" applyNumberFormat="1" applyFont="1" applyBorder="1" applyAlignment="1">
      <alignment horizontal="center" vertical="center"/>
    </xf>
    <xf numFmtId="1" fontId="15" fillId="0" borderId="43" xfId="0" applyNumberFormat="1" applyFont="1" applyBorder="1" applyAlignment="1">
      <alignment horizontal="center" vertical="center"/>
    </xf>
    <xf numFmtId="2" fontId="3" fillId="0" borderId="23" xfId="0" applyNumberFormat="1" applyFont="1" applyBorder="1" applyAlignment="1">
      <alignment horizontal="left" vertical="center"/>
    </xf>
    <xf numFmtId="49" fontId="15" fillId="0" borderId="42" xfId="0" applyNumberFormat="1" applyFont="1" applyBorder="1" applyAlignment="1">
      <alignment horizontal="center" vertical="center" wrapText="1"/>
    </xf>
    <xf numFmtId="0" fontId="8" fillId="0" borderId="53" xfId="0" applyFont="1" applyFill="1" applyBorder="1" applyAlignment="1">
      <alignment horizontal="center" vertical="top" wrapText="1"/>
    </xf>
    <xf numFmtId="0" fontId="8" fillId="0" borderId="54" xfId="0" applyFont="1" applyFill="1" applyBorder="1" applyAlignment="1">
      <alignment horizontal="center" vertical="top" wrapText="1"/>
    </xf>
    <xf numFmtId="171" fontId="39" fillId="15" borderId="58" xfId="4" applyNumberFormat="1" applyFont="1" applyFill="1" applyBorder="1" applyAlignment="1" applyProtection="1">
      <alignment horizontal="center" vertical="center"/>
      <protection locked="0"/>
    </xf>
    <xf numFmtId="0" fontId="40" fillId="0" borderId="0" xfId="0" quotePrefix="1" applyFont="1" applyAlignment="1">
      <alignment horizontal="right"/>
    </xf>
    <xf numFmtId="0" fontId="39" fillId="0" borderId="0" xfId="0" applyFont="1" applyAlignment="1">
      <alignment horizontal="right"/>
    </xf>
    <xf numFmtId="0" fontId="39" fillId="0" borderId="0" xfId="0" applyFont="1"/>
    <xf numFmtId="0" fontId="39" fillId="0" borderId="0" xfId="0" quotePrefix="1" applyFont="1" applyAlignment="1">
      <alignment horizontal="right"/>
    </xf>
    <xf numFmtId="0" fontId="41" fillId="17" borderId="0" xfId="0" quotePrefix="1" applyFont="1" applyFill="1" applyBorder="1" applyAlignment="1">
      <alignment vertical="center"/>
    </xf>
    <xf numFmtId="0" fontId="41" fillId="17" borderId="35" xfId="0" quotePrefix="1" applyFont="1" applyFill="1" applyBorder="1" applyAlignment="1">
      <alignment vertical="center"/>
    </xf>
    <xf numFmtId="0" fontId="41" fillId="17" borderId="52" xfId="0" quotePrefix="1" applyFont="1" applyFill="1" applyBorder="1" applyAlignment="1">
      <alignment vertical="center"/>
    </xf>
    <xf numFmtId="0" fontId="41" fillId="17" borderId="36" xfId="0" quotePrefix="1" applyFont="1" applyFill="1" applyBorder="1" applyAlignment="1">
      <alignment vertical="center"/>
    </xf>
    <xf numFmtId="0" fontId="41" fillId="17" borderId="8" xfId="0" quotePrefix="1" applyFont="1" applyFill="1" applyBorder="1" applyAlignment="1">
      <alignment vertical="center"/>
    </xf>
    <xf numFmtId="0" fontId="41" fillId="17" borderId="50" xfId="0" quotePrefix="1" applyFont="1" applyFill="1" applyBorder="1" applyAlignment="1">
      <alignment vertical="center"/>
    </xf>
    <xf numFmtId="0" fontId="1" fillId="0" borderId="0" xfId="11" applyFont="1" applyAlignment="1">
      <alignment horizontal="center"/>
    </xf>
    <xf numFmtId="0" fontId="1" fillId="0" borderId="0" xfId="11" applyFont="1" applyAlignment="1">
      <alignment wrapText="1"/>
    </xf>
    <xf numFmtId="174" fontId="39" fillId="0" borderId="43" xfId="0" applyNumberFormat="1" applyFont="1" applyFill="1" applyBorder="1" applyAlignment="1">
      <alignment horizontal="center"/>
    </xf>
    <xf numFmtId="174" fontId="39" fillId="0" borderId="17" xfId="0" applyNumberFormat="1" applyFont="1" applyFill="1" applyBorder="1" applyAlignment="1">
      <alignment horizontal="center"/>
    </xf>
    <xf numFmtId="175" fontId="39" fillId="0" borderId="23" xfId="0" applyNumberFormat="1" applyFont="1" applyBorder="1" applyAlignment="1">
      <alignment horizontal="center"/>
    </xf>
    <xf numFmtId="175" fontId="39" fillId="0" borderId="2" xfId="0" applyNumberFormat="1" applyFont="1" applyBorder="1" applyAlignment="1">
      <alignment horizontal="center"/>
    </xf>
    <xf numFmtId="44" fontId="39" fillId="15" borderId="57" xfId="0" applyNumberFormat="1" applyFont="1" applyFill="1" applyBorder="1" applyAlignment="1" applyProtection="1">
      <alignment horizontal="center" vertical="center"/>
      <protection locked="0"/>
    </xf>
    <xf numFmtId="44" fontId="39" fillId="15" borderId="3" xfId="0" applyNumberFormat="1" applyFont="1" applyFill="1" applyBorder="1" applyAlignment="1" applyProtection="1">
      <alignment horizontal="center" vertical="center"/>
      <protection locked="0"/>
    </xf>
    <xf numFmtId="44" fontId="39" fillId="15" borderId="31" xfId="0" applyNumberFormat="1" applyFont="1" applyFill="1" applyBorder="1" applyAlignment="1" applyProtection="1">
      <alignment horizontal="center" vertical="center"/>
      <protection locked="0"/>
    </xf>
    <xf numFmtId="44" fontId="39" fillId="15" borderId="57" xfId="4" applyNumberFormat="1" applyFont="1" applyFill="1" applyBorder="1" applyAlignment="1" applyProtection="1">
      <alignment horizontal="center" vertical="center"/>
      <protection locked="0"/>
    </xf>
    <xf numFmtId="44" fontId="39" fillId="15" borderId="3" xfId="4" applyNumberFormat="1" applyFont="1" applyFill="1" applyBorder="1" applyAlignment="1" applyProtection="1">
      <alignment horizontal="center" vertical="center"/>
      <protection locked="0"/>
    </xf>
    <xf numFmtId="44" fontId="39" fillId="15" borderId="31" xfId="4"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8" fillId="0" borderId="0" xfId="0" applyFont="1" applyProtection="1">
      <protection locked="0"/>
    </xf>
    <xf numFmtId="4" fontId="39" fillId="0" borderId="43" xfId="0" applyNumberFormat="1" applyFont="1" applyFill="1" applyBorder="1" applyAlignment="1">
      <alignment horizontal="center"/>
    </xf>
    <xf numFmtId="4" fontId="39" fillId="0" borderId="17" xfId="0" applyNumberFormat="1" applyFont="1" applyFill="1" applyBorder="1" applyAlignment="1">
      <alignment horizontal="center"/>
    </xf>
    <xf numFmtId="176" fontId="39" fillId="0" borderId="43" xfId="0" applyNumberFormat="1" applyFont="1" applyFill="1" applyBorder="1" applyAlignment="1">
      <alignment horizontal="center"/>
    </xf>
    <xf numFmtId="176" fontId="39" fillId="0" borderId="17" xfId="0" applyNumberFormat="1" applyFont="1" applyFill="1" applyBorder="1" applyAlignment="1">
      <alignment horizontal="center"/>
    </xf>
    <xf numFmtId="176" fontId="39" fillId="0" borderId="79" xfId="0" applyNumberFormat="1" applyFont="1" applyFill="1" applyBorder="1" applyAlignment="1">
      <alignment horizontal="center"/>
    </xf>
    <xf numFmtId="177" fontId="39" fillId="0" borderId="56" xfId="0" applyNumberFormat="1" applyFont="1" applyFill="1" applyBorder="1" applyAlignment="1" applyProtection="1">
      <alignment horizontal="center" vertical="center"/>
    </xf>
    <xf numFmtId="177" fontId="39" fillId="15" borderId="56" xfId="0" applyNumberFormat="1" applyFont="1" applyFill="1" applyBorder="1" applyAlignment="1" applyProtection="1">
      <alignment horizontal="center" vertical="center"/>
      <protection locked="0"/>
    </xf>
    <xf numFmtId="177" fontId="39" fillId="0" borderId="56" xfId="0" applyNumberFormat="1" applyFont="1" applyFill="1" applyBorder="1" applyAlignment="1">
      <alignment horizontal="center" vertical="center" wrapText="1"/>
    </xf>
    <xf numFmtId="177" fontId="39" fillId="0" borderId="2" xfId="0" applyNumberFormat="1" applyFont="1" applyFill="1" applyBorder="1" applyAlignment="1" applyProtection="1">
      <alignment horizontal="center" vertical="center"/>
    </xf>
    <xf numFmtId="177" fontId="39" fillId="15" borderId="2" xfId="0" applyNumberFormat="1" applyFont="1" applyFill="1" applyBorder="1" applyAlignment="1" applyProtection="1">
      <alignment horizontal="center" vertical="center"/>
      <protection locked="0"/>
    </xf>
    <xf numFmtId="177" fontId="39" fillId="0" borderId="2" xfId="0" applyNumberFormat="1" applyFont="1" applyFill="1" applyBorder="1" applyAlignment="1">
      <alignment horizontal="center" vertical="center" wrapText="1"/>
    </xf>
    <xf numFmtId="177" fontId="39" fillId="0" borderId="30" xfId="0" applyNumberFormat="1" applyFont="1" applyFill="1" applyBorder="1" applyAlignment="1" applyProtection="1">
      <alignment horizontal="center" vertical="center"/>
    </xf>
    <xf numFmtId="177" fontId="39" fillId="15" borderId="30" xfId="0" applyNumberFormat="1" applyFont="1" applyFill="1" applyBorder="1" applyAlignment="1" applyProtection="1">
      <alignment horizontal="center" vertical="center"/>
      <protection locked="0"/>
    </xf>
    <xf numFmtId="177" fontId="39" fillId="0" borderId="30" xfId="0" applyNumberFormat="1" applyFont="1" applyFill="1" applyBorder="1" applyAlignment="1">
      <alignment horizontal="center" vertical="center" wrapText="1"/>
    </xf>
    <xf numFmtId="178" fontId="39" fillId="0" borderId="56" xfId="0" applyNumberFormat="1" applyFont="1" applyFill="1" applyBorder="1" applyAlignment="1">
      <alignment horizontal="center" vertical="center" wrapText="1"/>
    </xf>
    <xf numFmtId="178" fontId="39" fillId="0" borderId="2" xfId="0" applyNumberFormat="1" applyFont="1" applyFill="1" applyBorder="1" applyAlignment="1">
      <alignment horizontal="center" vertical="center" wrapText="1"/>
    </xf>
    <xf numFmtId="178" fontId="39" fillId="0" borderId="30" xfId="0" applyNumberFormat="1" applyFont="1" applyFill="1" applyBorder="1" applyAlignment="1">
      <alignment horizontal="center" vertical="center" wrapText="1"/>
    </xf>
    <xf numFmtId="0" fontId="5" fillId="16" borderId="43" xfId="0" applyFont="1" applyFill="1" applyBorder="1" applyAlignment="1">
      <alignment horizontal="left" vertical="center"/>
    </xf>
    <xf numFmtId="0" fontId="5" fillId="16" borderId="17" xfId="0" applyFont="1" applyFill="1" applyBorder="1" applyAlignment="1">
      <alignment horizontal="left" vertical="center"/>
    </xf>
    <xf numFmtId="0" fontId="5" fillId="16" borderId="63" xfId="0" applyFont="1" applyFill="1" applyBorder="1" applyAlignment="1">
      <alignment horizontal="left" vertical="center"/>
    </xf>
    <xf numFmtId="0" fontId="5" fillId="16" borderId="64" xfId="0" applyFont="1" applyFill="1" applyBorder="1" applyAlignment="1">
      <alignment horizontal="left" vertical="center"/>
    </xf>
    <xf numFmtId="0" fontId="5" fillId="16" borderId="65" xfId="0" applyFont="1" applyFill="1" applyBorder="1" applyAlignment="1">
      <alignment horizontal="left" vertical="center"/>
    </xf>
    <xf numFmtId="0" fontId="8" fillId="4" borderId="57" xfId="0" applyFont="1" applyFill="1" applyBorder="1" applyAlignment="1">
      <alignment horizontal="center" vertical="top" wrapText="1"/>
    </xf>
    <xf numFmtId="0" fontId="6" fillId="5" borderId="5" xfId="11" applyFont="1" applyFill="1" applyBorder="1" applyProtection="1">
      <protection locked="0"/>
    </xf>
    <xf numFmtId="172" fontId="6" fillId="5" borderId="5" xfId="11" applyNumberFormat="1" applyFont="1" applyFill="1" applyBorder="1" applyAlignment="1" applyProtection="1">
      <alignment horizontal="left"/>
      <protection locked="0"/>
    </xf>
    <xf numFmtId="49" fontId="7" fillId="5" borderId="5" xfId="9" applyNumberFormat="1" applyFill="1" applyBorder="1" applyAlignment="1" applyProtection="1">
      <protection locked="0"/>
    </xf>
    <xf numFmtId="49" fontId="6" fillId="5" borderId="5" xfId="11" applyNumberFormat="1" applyFont="1" applyFill="1" applyBorder="1" applyProtection="1">
      <protection locked="0"/>
    </xf>
    <xf numFmtId="0" fontId="6" fillId="5" borderId="5" xfId="11" applyFont="1" applyFill="1" applyBorder="1" applyAlignment="1" applyProtection="1">
      <alignment horizontal="left"/>
      <protection locked="0"/>
    </xf>
    <xf numFmtId="0" fontId="42" fillId="5" borderId="5" xfId="11" applyFill="1" applyBorder="1" applyAlignment="1">
      <alignment horizontal="left"/>
    </xf>
    <xf numFmtId="172" fontId="42" fillId="5" borderId="5" xfId="11" applyNumberFormat="1" applyFill="1" applyBorder="1" applyAlignment="1" applyProtection="1">
      <alignment horizontal="left"/>
      <protection locked="0"/>
    </xf>
    <xf numFmtId="14" fontId="6" fillId="5" borderId="5" xfId="11" applyNumberFormat="1" applyFont="1" applyFill="1" applyBorder="1" applyAlignment="1" applyProtection="1">
      <alignment horizontal="left"/>
      <protection locked="0"/>
    </xf>
    <xf numFmtId="0" fontId="6" fillId="5" borderId="5" xfId="11" applyFont="1" applyFill="1" applyBorder="1" applyAlignment="1" applyProtection="1">
      <protection locked="0"/>
    </xf>
    <xf numFmtId="1" fontId="6" fillId="5" borderId="5" xfId="11" applyNumberFormat="1" applyFont="1" applyFill="1" applyBorder="1" applyAlignment="1" applyProtection="1">
      <alignment horizontal="left"/>
      <protection locked="0"/>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8" fillId="4" borderId="10" xfId="0" applyFont="1" applyFill="1" applyBorder="1" applyAlignment="1">
      <alignment horizontal="center" vertical="top" wrapText="1"/>
    </xf>
    <xf numFmtId="0" fontId="8" fillId="4" borderId="44" xfId="0" applyFont="1" applyFill="1" applyBorder="1" applyAlignment="1">
      <alignment horizontal="center" vertical="top" wrapText="1"/>
    </xf>
    <xf numFmtId="0" fontId="5" fillId="16" borderId="19" xfId="0" applyFont="1" applyFill="1" applyBorder="1" applyAlignment="1">
      <alignment horizontal="center" vertical="center"/>
    </xf>
    <xf numFmtId="0" fontId="5" fillId="16" borderId="17" xfId="0" applyFont="1" applyFill="1" applyBorder="1" applyAlignment="1">
      <alignment horizontal="center" vertical="center"/>
    </xf>
    <xf numFmtId="0" fontId="5" fillId="9" borderId="19" xfId="0" applyFont="1" applyFill="1" applyBorder="1" applyAlignment="1">
      <alignment horizontal="center" vertical="top" wrapText="1"/>
    </xf>
    <xf numFmtId="0" fontId="5" fillId="9" borderId="51" xfId="0" applyFont="1" applyFill="1" applyBorder="1" applyAlignment="1">
      <alignment horizontal="center" vertical="top" wrapText="1"/>
    </xf>
    <xf numFmtId="0" fontId="5" fillId="9" borderId="53" xfId="0" applyFont="1" applyFill="1" applyBorder="1" applyAlignment="1">
      <alignment horizontal="center" vertical="top"/>
    </xf>
    <xf numFmtId="0" fontId="5" fillId="9" borderId="88" xfId="0" applyFont="1" applyFill="1" applyBorder="1" applyAlignment="1">
      <alignment horizontal="center" vertical="top"/>
    </xf>
    <xf numFmtId="0" fontId="5" fillId="9" borderId="16" xfId="0" applyFont="1" applyFill="1" applyBorder="1" applyAlignment="1">
      <alignment horizontal="center" vertical="top"/>
    </xf>
    <xf numFmtId="0" fontId="5" fillId="9" borderId="89" xfId="0" applyFont="1" applyFill="1" applyBorder="1" applyAlignment="1">
      <alignment horizontal="center" vertical="top"/>
    </xf>
    <xf numFmtId="0" fontId="5" fillId="9" borderId="60" xfId="0" applyFont="1" applyFill="1" applyBorder="1" applyAlignment="1">
      <alignment horizontal="center" vertical="top" wrapText="1"/>
    </xf>
    <xf numFmtId="0" fontId="5" fillId="9" borderId="62" xfId="0" applyFont="1" applyFill="1" applyBorder="1" applyAlignment="1">
      <alignment horizontal="center" vertical="top" wrapText="1"/>
    </xf>
    <xf numFmtId="0" fontId="4" fillId="4" borderId="11" xfId="0" quotePrefix="1" applyFont="1" applyFill="1" applyBorder="1" applyAlignment="1">
      <alignment horizontal="left" vertical="center"/>
    </xf>
    <xf numFmtId="0" fontId="4" fillId="4" borderId="13" xfId="0" quotePrefix="1" applyFont="1" applyFill="1" applyBorder="1" applyAlignment="1">
      <alignment horizontal="left" vertical="center"/>
    </xf>
    <xf numFmtId="0" fontId="4" fillId="4" borderId="34" xfId="0" quotePrefix="1" applyFont="1" applyFill="1" applyBorder="1" applyAlignment="1">
      <alignment horizontal="left" vertical="center"/>
    </xf>
    <xf numFmtId="0" fontId="8" fillId="4" borderId="75" xfId="0" applyFont="1" applyFill="1" applyBorder="1" applyAlignment="1">
      <alignment horizontal="center" vertical="top" wrapText="1"/>
    </xf>
    <xf numFmtId="0" fontId="6" fillId="4" borderId="55"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8" xfId="0" applyFont="1" applyBorder="1" applyAlignment="1">
      <alignment horizontal="center" vertical="top" wrapText="1"/>
    </xf>
    <xf numFmtId="0" fontId="5" fillId="9" borderId="42" xfId="0" applyFont="1" applyFill="1" applyBorder="1" applyAlignment="1">
      <alignment horizontal="center" vertical="top"/>
    </xf>
    <xf numFmtId="0" fontId="5" fillId="9" borderId="90" xfId="0" applyFont="1" applyFill="1" applyBorder="1" applyAlignment="1">
      <alignment horizontal="center" vertical="top"/>
    </xf>
    <xf numFmtId="0" fontId="6" fillId="4" borderId="56"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4" borderId="64" xfId="0" applyFont="1" applyFill="1" applyBorder="1" applyAlignment="1">
      <alignment horizontal="center" vertical="top"/>
    </xf>
    <xf numFmtId="0" fontId="6" fillId="4" borderId="56" xfId="0" applyFont="1" applyFill="1" applyBorder="1" applyAlignment="1">
      <alignment horizontal="center" vertical="top"/>
    </xf>
    <xf numFmtId="0" fontId="6" fillId="4" borderId="58" xfId="0" applyFont="1" applyFill="1" applyBorder="1" applyAlignment="1">
      <alignment horizontal="center" vertical="top"/>
    </xf>
    <xf numFmtId="0" fontId="8" fillId="4" borderId="91" xfId="0" applyFont="1" applyFill="1" applyBorder="1" applyAlignment="1">
      <alignment horizontal="center" vertical="top" wrapText="1"/>
    </xf>
    <xf numFmtId="0" fontId="5" fillId="16" borderId="5" xfId="0" applyFont="1" applyFill="1" applyBorder="1" applyAlignment="1">
      <alignment horizontal="left" vertical="top" wrapText="1"/>
    </xf>
    <xf numFmtId="0" fontId="8" fillId="4" borderId="60" xfId="0" quotePrefix="1" applyFont="1" applyFill="1" applyBorder="1" applyAlignment="1">
      <alignment horizontal="center" vertical="top" wrapText="1"/>
    </xf>
    <xf numFmtId="0" fontId="8" fillId="4" borderId="61" xfId="0" quotePrefix="1" applyFont="1" applyFill="1" applyBorder="1" applyAlignment="1">
      <alignment horizontal="center" vertical="top" wrapText="1"/>
    </xf>
    <xf numFmtId="0" fontId="8" fillId="4" borderId="11"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100" xfId="0" applyFont="1" applyFill="1" applyBorder="1" applyAlignment="1">
      <alignment horizontal="center" vertical="top" wrapText="1"/>
    </xf>
    <xf numFmtId="0" fontId="8" fillId="4" borderId="101" xfId="0" applyFont="1" applyFill="1" applyBorder="1" applyAlignment="1">
      <alignment horizontal="center" vertical="top" wrapText="1"/>
    </xf>
    <xf numFmtId="6" fontId="5" fillId="0" borderId="94" xfId="0" applyNumberFormat="1" applyFont="1" applyBorder="1" applyAlignment="1">
      <alignment horizontal="center" vertical="center"/>
    </xf>
    <xf numFmtId="6" fontId="5" fillId="0" borderId="99" xfId="0" applyNumberFormat="1" applyFont="1" applyBorder="1" applyAlignment="1">
      <alignment horizontal="center" vertical="center"/>
    </xf>
    <xf numFmtId="6" fontId="5" fillId="0" borderId="102" xfId="0" applyNumberFormat="1" applyFont="1" applyBorder="1" applyAlignment="1">
      <alignment horizontal="center" vertical="center"/>
    </xf>
    <xf numFmtId="6" fontId="5" fillId="0" borderId="103" xfId="0" applyNumberFormat="1" applyFont="1" applyBorder="1" applyAlignment="1">
      <alignment horizontal="center" vertical="center"/>
    </xf>
    <xf numFmtId="0" fontId="8" fillId="0" borderId="77" xfId="0" applyFont="1" applyBorder="1" applyAlignment="1">
      <alignment horizontal="center" vertical="center" wrapText="1"/>
    </xf>
    <xf numFmtId="0" fontId="8" fillId="0" borderId="0" xfId="0" applyFont="1" applyBorder="1" applyAlignment="1">
      <alignment horizontal="center" vertical="center" wrapText="1"/>
    </xf>
    <xf numFmtId="6" fontId="5" fillId="0" borderId="95" xfId="0" applyNumberFormat="1" applyFont="1" applyBorder="1" applyAlignment="1">
      <alignment horizontal="center" vertical="center"/>
    </xf>
    <xf numFmtId="6" fontId="5" fillId="0" borderId="96" xfId="0" applyNumberFormat="1" applyFont="1" applyBorder="1" applyAlignment="1">
      <alignment horizontal="center" vertical="center"/>
    </xf>
    <xf numFmtId="6" fontId="5" fillId="0" borderId="97" xfId="0" applyNumberFormat="1" applyFont="1" applyBorder="1" applyAlignment="1">
      <alignment horizontal="center" vertical="center"/>
    </xf>
    <xf numFmtId="6" fontId="5" fillId="0" borderId="138" xfId="0" applyNumberFormat="1" applyFont="1" applyBorder="1" applyAlignment="1">
      <alignment horizontal="center" vertical="center"/>
    </xf>
    <xf numFmtId="6" fontId="5" fillId="0" borderId="139" xfId="0" applyNumberFormat="1" applyFont="1" applyBorder="1" applyAlignment="1">
      <alignment horizontal="center" vertical="center"/>
    </xf>
    <xf numFmtId="6" fontId="5" fillId="0" borderId="104" xfId="0" applyNumberFormat="1" applyFont="1" applyBorder="1" applyAlignment="1">
      <alignment horizontal="center" vertical="center"/>
    </xf>
    <xf numFmtId="6" fontId="5" fillId="0" borderId="105" xfId="0" applyNumberFormat="1" applyFont="1" applyBorder="1" applyAlignment="1">
      <alignment horizontal="center" vertical="center"/>
    </xf>
    <xf numFmtId="6" fontId="5" fillId="0" borderId="92" xfId="0" applyNumberFormat="1" applyFont="1" applyBorder="1" applyAlignment="1">
      <alignment horizontal="center" vertical="center"/>
    </xf>
    <xf numFmtId="6" fontId="5" fillId="0" borderId="98" xfId="0" applyNumberFormat="1" applyFont="1" applyBorder="1" applyAlignment="1">
      <alignment horizontal="center" vertical="center"/>
    </xf>
    <xf numFmtId="6" fontId="5" fillId="0" borderId="106" xfId="0" applyNumberFormat="1" applyFont="1" applyBorder="1" applyAlignment="1">
      <alignment horizontal="center" vertical="center"/>
    </xf>
    <xf numFmtId="6" fontId="5" fillId="0" borderId="107" xfId="0" applyNumberFormat="1" applyFont="1" applyBorder="1" applyAlignment="1">
      <alignment horizontal="center" vertical="center"/>
    </xf>
    <xf numFmtId="6" fontId="5" fillId="0" borderId="93"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wrapText="1"/>
    </xf>
    <xf numFmtId="0" fontId="5" fillId="9" borderId="72" xfId="0" applyFont="1" applyFill="1" applyBorder="1" applyAlignment="1">
      <alignment horizontal="center" vertical="top" wrapText="1"/>
    </xf>
    <xf numFmtId="0" fontId="5" fillId="9" borderId="71" xfId="0" applyFont="1" applyFill="1" applyBorder="1" applyAlignment="1">
      <alignment horizontal="center" vertical="top" wrapText="1"/>
    </xf>
    <xf numFmtId="0" fontId="5" fillId="0" borderId="72" xfId="0" applyFont="1" applyBorder="1" applyAlignment="1">
      <alignment horizontal="left" vertical="center"/>
    </xf>
    <xf numFmtId="0" fontId="5" fillId="0" borderId="70" xfId="0" applyFont="1" applyBorder="1" applyAlignment="1">
      <alignment horizontal="left" vertical="center"/>
    </xf>
    <xf numFmtId="0" fontId="5" fillId="16" borderId="51" xfId="0" applyFont="1" applyFill="1" applyBorder="1" applyAlignment="1">
      <alignment horizontal="center" vertical="center"/>
    </xf>
    <xf numFmtId="6" fontId="5" fillId="0" borderId="108" xfId="0" applyNumberFormat="1" applyFont="1" applyBorder="1" applyAlignment="1">
      <alignment horizontal="center" vertical="center"/>
    </xf>
    <xf numFmtId="6" fontId="5" fillId="0" borderId="109" xfId="0" applyNumberFormat="1" applyFont="1" applyBorder="1" applyAlignment="1">
      <alignment horizontal="center" vertical="center"/>
    </xf>
    <xf numFmtId="6" fontId="5" fillId="0" borderId="110" xfId="0" applyNumberFormat="1" applyFont="1" applyBorder="1" applyAlignment="1">
      <alignment horizontal="center" vertical="center"/>
    </xf>
    <xf numFmtId="6" fontId="5" fillId="0" borderId="111" xfId="0" applyNumberFormat="1" applyFont="1" applyBorder="1" applyAlignment="1">
      <alignment horizontal="center" vertical="center"/>
    </xf>
    <xf numFmtId="173" fontId="39" fillId="0" borderId="19" xfId="0" applyNumberFormat="1" applyFont="1" applyBorder="1" applyAlignment="1">
      <alignment horizontal="center" vertical="center"/>
    </xf>
    <xf numFmtId="173" fontId="39" fillId="0" borderId="4" xfId="0" applyNumberFormat="1" applyFont="1" applyBorder="1" applyAlignment="1">
      <alignment horizontal="center" vertical="center"/>
    </xf>
    <xf numFmtId="173" fontId="39" fillId="0" borderId="112" xfId="0" applyNumberFormat="1" applyFont="1" applyBorder="1" applyAlignment="1">
      <alignment horizontal="center" vertical="center"/>
    </xf>
    <xf numFmtId="0" fontId="39" fillId="0" borderId="16" xfId="0" applyFont="1" applyBorder="1" applyAlignment="1">
      <alignment horizontal="left" vertical="center" wrapText="1"/>
    </xf>
    <xf numFmtId="0" fontId="39" fillId="0" borderId="2" xfId="0" applyFont="1" applyBorder="1" applyAlignment="1">
      <alignment horizontal="left" vertical="center" wrapText="1"/>
    </xf>
    <xf numFmtId="0" fontId="39" fillId="0" borderId="18" xfId="0" applyFont="1" applyBorder="1" applyAlignment="1">
      <alignment horizontal="left" vertical="center" wrapText="1"/>
    </xf>
    <xf numFmtId="6" fontId="39"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0" fontId="39" fillId="0" borderId="19" xfId="0" applyNumberFormat="1" applyFont="1" applyBorder="1" applyAlignment="1">
      <alignment horizontal="center" vertical="center"/>
    </xf>
    <xf numFmtId="0" fontId="39" fillId="0" borderId="121" xfId="0" applyFont="1" applyBorder="1" applyAlignment="1">
      <alignment horizontal="left" vertical="center" wrapText="1"/>
    </xf>
    <xf numFmtId="0" fontId="39" fillId="0" borderId="120" xfId="0" applyFont="1" applyBorder="1" applyAlignment="1">
      <alignment horizontal="left" vertical="center" wrapText="1"/>
    </xf>
    <xf numFmtId="0" fontId="39" fillId="0" borderId="122" xfId="0" applyFont="1" applyBorder="1" applyAlignment="1">
      <alignment horizontal="left" vertical="center" wrapText="1"/>
    </xf>
    <xf numFmtId="6" fontId="39" fillId="0" borderId="115" xfId="0" applyNumberFormat="1" applyFont="1" applyBorder="1" applyAlignment="1">
      <alignment horizontal="center" vertical="center"/>
    </xf>
    <xf numFmtId="6" fontId="39" fillId="0" borderId="120" xfId="0" applyNumberFormat="1" applyFont="1" applyBorder="1" applyAlignment="1">
      <alignment horizontal="center" vertical="center"/>
    </xf>
    <xf numFmtId="6" fontId="39" fillId="0" borderId="122" xfId="0" applyNumberFormat="1" applyFont="1" applyBorder="1" applyAlignment="1">
      <alignment horizontal="center" vertical="center"/>
    </xf>
    <xf numFmtId="170" fontId="39" fillId="0" borderId="121" xfId="0" applyNumberFormat="1" applyFont="1" applyBorder="1" applyAlignment="1">
      <alignment horizontal="center" vertical="center"/>
    </xf>
    <xf numFmtId="170" fontId="39" fillId="0" borderId="120" xfId="0" applyNumberFormat="1" applyFont="1" applyBorder="1" applyAlignment="1">
      <alignment horizontal="center" vertical="center"/>
    </xf>
    <xf numFmtId="170" fontId="39" fillId="0" borderId="122" xfId="0" applyNumberFormat="1"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left" vertical="center" wrapText="1"/>
    </xf>
    <xf numFmtId="0" fontId="39" fillId="0" borderId="51" xfId="0" applyFont="1" applyBorder="1" applyAlignment="1">
      <alignment horizontal="left" vertical="center" wrapText="1"/>
    </xf>
    <xf numFmtId="6" fontId="39" fillId="0" borderId="4" xfId="0" applyNumberFormat="1" applyFont="1" applyBorder="1" applyAlignment="1">
      <alignment horizontal="center" vertical="center"/>
    </xf>
    <xf numFmtId="6" fontId="39" fillId="0" borderId="51" xfId="0" applyNumberFormat="1" applyFont="1" applyBorder="1" applyAlignment="1">
      <alignment horizontal="center" vertical="center"/>
    </xf>
    <xf numFmtId="170" fontId="39" fillId="0" borderId="4" xfId="0" applyNumberFormat="1" applyFont="1" applyBorder="1" applyAlignment="1">
      <alignment horizontal="center" vertical="center"/>
    </xf>
    <xf numFmtId="170" fontId="39" fillId="0" borderId="51" xfId="0" applyNumberFormat="1" applyFont="1" applyBorder="1" applyAlignment="1">
      <alignment horizontal="center" vertical="center"/>
    </xf>
    <xf numFmtId="0" fontId="6" fillId="4" borderId="60" xfId="0" applyFont="1" applyFill="1"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13" fillId="4" borderId="116" xfId="0" applyFont="1" applyFill="1" applyBorder="1" applyAlignment="1">
      <alignment horizontal="center" vertical="center"/>
    </xf>
    <xf numFmtId="0" fontId="13" fillId="4" borderId="117" xfId="0" applyFont="1" applyFill="1" applyBorder="1" applyAlignment="1">
      <alignment horizontal="center" vertical="center"/>
    </xf>
    <xf numFmtId="0" fontId="13" fillId="4" borderId="118" xfId="0" applyFont="1" applyFill="1" applyBorder="1" applyAlignment="1">
      <alignment horizontal="center" vertical="center"/>
    </xf>
    <xf numFmtId="0" fontId="5" fillId="0" borderId="3" xfId="0" applyFont="1" applyBorder="1" applyAlignment="1">
      <alignment horizontal="center" vertical="center"/>
    </xf>
    <xf numFmtId="0" fontId="0" fillId="0" borderId="112" xfId="0" applyBorder="1" applyAlignment="1">
      <alignment horizontal="center" vertical="center"/>
    </xf>
    <xf numFmtId="0" fontId="5" fillId="0" borderId="114" xfId="0" applyFont="1" applyBorder="1" applyAlignment="1">
      <alignment horizontal="left" vertical="center"/>
    </xf>
    <xf numFmtId="0" fontId="0" fillId="0" borderId="17" xfId="0" applyBorder="1" applyAlignment="1">
      <alignment horizontal="left" vertical="center"/>
    </xf>
    <xf numFmtId="0" fontId="5" fillId="0" borderId="1" xfId="0" applyFont="1" applyBorder="1" applyAlignment="1">
      <alignment horizontal="center" vertical="center"/>
    </xf>
    <xf numFmtId="0" fontId="5" fillId="0" borderId="113" xfId="0" applyFont="1" applyBorder="1" applyAlignment="1">
      <alignment horizontal="center" vertical="center"/>
    </xf>
    <xf numFmtId="0" fontId="5" fillId="0" borderId="112" xfId="0" applyFont="1" applyBorder="1" applyAlignment="1">
      <alignment horizontal="center" vertical="center"/>
    </xf>
    <xf numFmtId="0" fontId="5" fillId="0" borderId="1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115" xfId="0" applyFont="1" applyBorder="1" applyAlignment="1">
      <alignment horizontal="center" vertical="center"/>
    </xf>
    <xf numFmtId="0" fontId="5" fillId="0" borderId="125" xfId="0" applyFont="1" applyBorder="1" applyAlignment="1">
      <alignment horizontal="center" vertical="center"/>
    </xf>
    <xf numFmtId="0" fontId="40" fillId="4" borderId="2" xfId="0" applyFont="1" applyFill="1" applyBorder="1" applyAlignment="1">
      <alignment horizontal="center" vertical="top" wrapText="1"/>
    </xf>
    <xf numFmtId="0" fontId="40" fillId="4" borderId="89" xfId="0" applyFont="1" applyFill="1" applyBorder="1" applyAlignment="1">
      <alignment horizontal="center" vertical="top" wrapText="1"/>
    </xf>
    <xf numFmtId="0" fontId="40" fillId="4" borderId="132" xfId="0" applyFont="1" applyFill="1" applyBorder="1" applyAlignment="1">
      <alignment horizontal="center" vertical="top" wrapText="1"/>
    </xf>
    <xf numFmtId="0" fontId="0" fillId="0" borderId="83" xfId="0" applyBorder="1" applyAlignment="1">
      <alignment horizontal="center" vertical="top" wrapText="1"/>
    </xf>
    <xf numFmtId="0" fontId="0" fillId="0" borderId="85" xfId="0" applyBorder="1" applyAlignment="1">
      <alignment horizontal="center" vertical="top" wrapText="1"/>
    </xf>
    <xf numFmtId="6" fontId="39" fillId="0" borderId="57" xfId="0" applyNumberFormat="1"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0" fontId="39" fillId="0" borderId="60" xfId="0" applyNumberFormat="1" applyFont="1" applyBorder="1" applyAlignment="1">
      <alignment horizontal="center" vertical="center"/>
    </xf>
    <xf numFmtId="0" fontId="0" fillId="0" borderId="131" xfId="0" applyBorder="1" applyAlignment="1">
      <alignment horizontal="center" vertical="center"/>
    </xf>
    <xf numFmtId="0" fontId="39" fillId="0" borderId="4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173" fontId="39" fillId="0" borderId="22" xfId="0" applyNumberFormat="1" applyFont="1" applyBorder="1" applyAlignment="1">
      <alignment horizontal="center" vertical="center"/>
    </xf>
    <xf numFmtId="173" fontId="39" fillId="0" borderId="5" xfId="0" applyNumberFormat="1" applyFont="1" applyBorder="1" applyAlignment="1">
      <alignment horizontal="center" vertical="center"/>
    </xf>
    <xf numFmtId="173" fontId="39" fillId="0" borderId="136" xfId="0" applyNumberFormat="1" applyFont="1" applyBorder="1" applyAlignment="1">
      <alignment horizontal="center" vertical="center"/>
    </xf>
    <xf numFmtId="173" fontId="39" fillId="0" borderId="49" xfId="0" applyNumberFormat="1" applyFont="1" applyBorder="1" applyAlignment="1">
      <alignment horizontal="center" vertical="center"/>
    </xf>
    <xf numFmtId="173" fontId="39" fillId="0" borderId="28" xfId="0" applyNumberFormat="1" applyFont="1" applyBorder="1" applyAlignment="1">
      <alignment horizontal="center" vertical="center"/>
    </xf>
    <xf numFmtId="173" fontId="39" fillId="0" borderId="137" xfId="0" applyNumberFormat="1" applyFont="1" applyBorder="1" applyAlignment="1">
      <alignment horizontal="center" vertical="center"/>
    </xf>
    <xf numFmtId="0" fontId="8" fillId="0" borderId="0" xfId="0" applyFont="1" applyBorder="1" applyAlignment="1">
      <alignment horizontal="left"/>
    </xf>
    <xf numFmtId="0" fontId="8" fillId="0" borderId="0" xfId="0" applyFont="1" applyAlignment="1">
      <alignment horizontal="left"/>
    </xf>
    <xf numFmtId="0" fontId="40" fillId="4" borderId="36"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50" xfId="0" applyFont="1" applyFill="1" applyBorder="1" applyAlignment="1">
      <alignment horizontal="center" vertical="top" wrapText="1"/>
    </xf>
    <xf numFmtId="0" fontId="6" fillId="4" borderId="60" xfId="0" applyFont="1" applyFill="1" applyBorder="1" applyAlignment="1">
      <alignment horizontal="center" vertical="top" wrapText="1"/>
    </xf>
    <xf numFmtId="0" fontId="6" fillId="4" borderId="61" xfId="0" applyFont="1" applyFill="1" applyBorder="1" applyAlignment="1">
      <alignment horizontal="center" vertical="top" wrapText="1"/>
    </xf>
    <xf numFmtId="49" fontId="13" fillId="4" borderId="126" xfId="0" quotePrefix="1" applyNumberFormat="1" applyFont="1" applyFill="1" applyBorder="1" applyAlignment="1">
      <alignment horizontal="center" vertical="center"/>
    </xf>
    <xf numFmtId="49" fontId="13" fillId="4" borderId="127" xfId="0" quotePrefix="1" applyNumberFormat="1" applyFont="1" applyFill="1" applyBorder="1" applyAlignment="1">
      <alignment horizontal="center" vertical="center"/>
    </xf>
    <xf numFmtId="49" fontId="13" fillId="4" borderId="128" xfId="0" quotePrefix="1" applyNumberFormat="1" applyFont="1" applyFill="1" applyBorder="1" applyAlignment="1">
      <alignment horizontal="center" vertical="center"/>
    </xf>
    <xf numFmtId="0" fontId="40" fillId="4" borderId="133" xfId="0" applyFont="1" applyFill="1" applyBorder="1" applyAlignment="1">
      <alignment horizontal="center" vertical="top" wrapText="1"/>
    </xf>
    <xf numFmtId="0" fontId="0" fillId="0" borderId="134" xfId="0" applyBorder="1" applyAlignment="1">
      <alignment horizontal="center" vertical="top" wrapText="1"/>
    </xf>
    <xf numFmtId="173" fontId="39" fillId="0" borderId="76" xfId="0" applyNumberFormat="1" applyFont="1" applyBorder="1" applyAlignment="1">
      <alignment horizontal="center" vertical="center"/>
    </xf>
    <xf numFmtId="173" fontId="39" fillId="0" borderId="77" xfId="0" applyNumberFormat="1" applyFont="1" applyBorder="1" applyAlignment="1">
      <alignment horizontal="center" vertical="center"/>
    </xf>
    <xf numFmtId="173" fontId="39" fillId="0" borderId="135" xfId="0" applyNumberFormat="1" applyFont="1" applyBorder="1" applyAlignment="1">
      <alignment horizontal="center" vertical="center"/>
    </xf>
    <xf numFmtId="0" fontId="8" fillId="0" borderId="140" xfId="0" applyFont="1" applyBorder="1" applyAlignment="1">
      <alignment horizontal="center" vertical="top" wrapText="1"/>
    </xf>
    <xf numFmtId="0" fontId="8" fillId="0" borderId="41" xfId="0" applyFont="1" applyBorder="1" applyAlignment="1">
      <alignment horizontal="center" vertical="top" wrapText="1"/>
    </xf>
    <xf numFmtId="0" fontId="8" fillId="0" borderId="21" xfId="0" applyFont="1" applyBorder="1" applyAlignment="1">
      <alignment horizontal="center" vertical="top" wrapText="1"/>
    </xf>
    <xf numFmtId="0" fontId="8" fillId="0" borderId="43" xfId="0" applyFont="1" applyBorder="1" applyAlignment="1">
      <alignment horizontal="center" vertical="top" wrapText="1"/>
    </xf>
    <xf numFmtId="170" fontId="29" fillId="0" borderId="123" xfId="0" applyNumberFormat="1" applyFont="1" applyFill="1" applyBorder="1" applyAlignment="1">
      <alignment horizontal="center" vertical="center"/>
    </xf>
    <xf numFmtId="170" fontId="29" fillId="0" borderId="124" xfId="0" applyNumberFormat="1" applyFont="1" applyFill="1" applyBorder="1" applyAlignment="1">
      <alignment horizontal="center" vertical="center"/>
    </xf>
    <xf numFmtId="0" fontId="40" fillId="4" borderId="129" xfId="0" applyFont="1" applyFill="1" applyBorder="1" applyAlignment="1">
      <alignment horizontal="center" vertical="top" wrapText="1"/>
    </xf>
    <xf numFmtId="0" fontId="40" fillId="4" borderId="2" xfId="0" quotePrefix="1" applyFont="1" applyFill="1" applyBorder="1" applyAlignment="1">
      <alignment horizontal="center" vertical="top"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79" xfId="0" applyFont="1" applyBorder="1" applyAlignment="1">
      <alignment horizontal="center" vertical="center"/>
    </xf>
    <xf numFmtId="0" fontId="6" fillId="4" borderId="57" xfId="0" applyFont="1" applyFill="1" applyBorder="1" applyAlignment="1">
      <alignment horizontal="center" vertical="top" wrapText="1"/>
    </xf>
    <xf numFmtId="173" fontId="0" fillId="0" borderId="4" xfId="0" applyNumberFormat="1" applyBorder="1" applyAlignment="1">
      <alignment horizontal="center" vertical="center"/>
    </xf>
    <xf numFmtId="173" fontId="0" fillId="0" borderId="51" xfId="0" applyNumberFormat="1" applyBorder="1" applyAlignment="1">
      <alignment horizontal="center" vertical="center"/>
    </xf>
    <xf numFmtId="173" fontId="39" fillId="0" borderId="60" xfId="0" applyNumberFormat="1" applyFont="1" applyBorder="1" applyAlignment="1">
      <alignment horizontal="center" vertical="center"/>
    </xf>
    <xf numFmtId="173" fontId="0" fillId="0" borderId="61" xfId="0" applyNumberFormat="1" applyBorder="1" applyAlignment="1">
      <alignment horizontal="center" vertical="center"/>
    </xf>
    <xf numFmtId="173" fontId="0" fillId="0" borderId="131" xfId="0" applyNumberFormat="1" applyBorder="1" applyAlignment="1">
      <alignment horizontal="center" vertical="center"/>
    </xf>
    <xf numFmtId="170" fontId="6" fillId="0" borderId="36" xfId="0" applyNumberFormat="1" applyFont="1" applyFill="1" applyBorder="1" applyAlignment="1">
      <alignment horizontal="center" vertical="center"/>
    </xf>
    <xf numFmtId="170" fontId="6" fillId="0" borderId="50" xfId="0" applyNumberFormat="1" applyFont="1" applyFill="1" applyBorder="1" applyAlignment="1">
      <alignment horizontal="center" vertical="center"/>
    </xf>
    <xf numFmtId="0" fontId="35" fillId="13" borderId="76" xfId="0" applyFont="1" applyFill="1" applyBorder="1" applyAlignment="1">
      <alignment horizontal="center" vertical="center"/>
    </xf>
    <xf numFmtId="0" fontId="35" fillId="13" borderId="77" xfId="0" applyFont="1" applyFill="1" applyBorder="1" applyAlignment="1">
      <alignment horizontal="center" vertical="center"/>
    </xf>
    <xf numFmtId="0" fontId="35" fillId="13" borderId="41" xfId="0" applyFont="1" applyFill="1" applyBorder="1" applyAlignment="1">
      <alignment horizontal="center" vertical="center"/>
    </xf>
    <xf numFmtId="0" fontId="35" fillId="13" borderId="36" xfId="0" applyFont="1" applyFill="1" applyBorder="1" applyAlignment="1">
      <alignment horizontal="right" vertical="center"/>
    </xf>
    <xf numFmtId="0" fontId="35" fillId="13" borderId="8" xfId="0" applyFont="1" applyFill="1" applyBorder="1" applyAlignment="1">
      <alignment horizontal="right" vertical="center"/>
    </xf>
    <xf numFmtId="0" fontId="35" fillId="11" borderId="36" xfId="0" applyFont="1" applyFill="1" applyBorder="1" applyAlignment="1">
      <alignment horizontal="right" vertical="center"/>
    </xf>
    <xf numFmtId="0" fontId="35" fillId="11" borderId="8" xfId="0" applyFont="1" applyFill="1" applyBorder="1" applyAlignment="1">
      <alignment horizontal="right" vertical="center"/>
    </xf>
    <xf numFmtId="0" fontId="34" fillId="12" borderId="11" xfId="0" applyFont="1" applyFill="1" applyBorder="1" applyAlignment="1">
      <alignment horizontal="center" vertical="center"/>
    </xf>
    <xf numFmtId="0" fontId="34" fillId="12" borderId="13" xfId="0" applyFont="1" applyFill="1" applyBorder="1" applyAlignment="1">
      <alignment horizontal="center" vertical="center"/>
    </xf>
    <xf numFmtId="0" fontId="34" fillId="12" borderId="3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34" xfId="0" applyFont="1" applyFill="1" applyBorder="1" applyAlignment="1">
      <alignment horizontal="center" vertical="center"/>
    </xf>
    <xf numFmtId="0" fontId="34" fillId="11" borderId="11" xfId="0" applyFont="1" applyFill="1" applyBorder="1" applyAlignment="1">
      <alignment horizontal="center" vertical="center"/>
    </xf>
    <xf numFmtId="0" fontId="34" fillId="11" borderId="13" xfId="0" applyFont="1" applyFill="1" applyBorder="1" applyAlignment="1">
      <alignment horizontal="center" vertical="center"/>
    </xf>
    <xf numFmtId="0" fontId="34" fillId="11" borderId="34" xfId="0" applyFont="1" applyFill="1" applyBorder="1" applyAlignment="1">
      <alignment horizontal="center" vertical="center"/>
    </xf>
    <xf numFmtId="0" fontId="35" fillId="12" borderId="36" xfId="0" applyFont="1" applyFill="1" applyBorder="1" applyAlignment="1">
      <alignment horizontal="right" vertical="center"/>
    </xf>
    <xf numFmtId="0" fontId="35" fillId="12" borderId="8" xfId="0" applyFont="1" applyFill="1" applyBorder="1" applyAlignment="1">
      <alignment horizontal="right" vertical="center"/>
    </xf>
    <xf numFmtId="0" fontId="15" fillId="0" borderId="3" xfId="12" applyBorder="1" applyAlignment="1">
      <alignment horizontal="left" vertical="center"/>
    </xf>
    <xf numFmtId="0" fontId="15" fillId="0" borderId="4" xfId="12" applyBorder="1" applyAlignment="1">
      <alignment horizontal="left" vertical="center"/>
    </xf>
    <xf numFmtId="0" fontId="0" fillId="6" borderId="2" xfId="0" applyFill="1" applyBorder="1" applyAlignment="1">
      <alignment horizontal="center"/>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15" fillId="0" borderId="3" xfId="12" applyFill="1" applyBorder="1" applyAlignment="1">
      <alignment horizontal="left" vertical="center"/>
    </xf>
    <xf numFmtId="0" fontId="15" fillId="0" borderId="4" xfId="12" applyFill="1" applyBorder="1" applyAlignment="1">
      <alignment horizontal="left" vertical="center"/>
    </xf>
    <xf numFmtId="0" fontId="29" fillId="4" borderId="21" xfId="0" quotePrefix="1" applyFont="1" applyFill="1" applyBorder="1" applyAlignment="1">
      <alignment horizontal="center" vertical="center" wrapText="1"/>
    </xf>
    <xf numFmtId="0" fontId="29" fillId="4" borderId="5" xfId="0" quotePrefix="1" applyFont="1" applyFill="1" applyBorder="1" applyAlignment="1">
      <alignment horizontal="center" vertical="center" wrapText="1"/>
    </xf>
    <xf numFmtId="0" fontId="6" fillId="6" borderId="2" xfId="0" applyFont="1" applyFill="1" applyBorder="1" applyAlignment="1">
      <alignment horizontal="left"/>
    </xf>
    <xf numFmtId="0" fontId="6" fillId="6" borderId="2" xfId="0" applyFont="1" applyFill="1" applyBorder="1" applyAlignment="1">
      <alignment horizont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6" fillId="4" borderId="3" xfId="0" applyFont="1" applyFill="1" applyBorder="1" applyAlignment="1">
      <alignment horizontal="center" wrapText="1"/>
    </xf>
    <xf numFmtId="0" fontId="6" fillId="4" borderId="17" xfId="0" applyFont="1" applyFill="1" applyBorder="1" applyAlignment="1">
      <alignment horizontal="center" wrapText="1"/>
    </xf>
    <xf numFmtId="0" fontId="6" fillId="4" borderId="2" xfId="0" applyFont="1" applyFill="1" applyBorder="1" applyAlignment="1">
      <alignment horizontal="center" wrapText="1"/>
    </xf>
    <xf numFmtId="0" fontId="4" fillId="4" borderId="3" xfId="0" quotePrefix="1" applyFont="1" applyFill="1" applyBorder="1" applyAlignment="1">
      <alignment vertical="center"/>
    </xf>
    <xf numFmtId="0" fontId="4" fillId="4" borderId="4" xfId="0" applyFont="1" applyFill="1" applyBorder="1" applyAlignment="1">
      <alignment vertical="center"/>
    </xf>
    <xf numFmtId="0" fontId="4" fillId="4" borderId="17" xfId="0" applyFont="1" applyFill="1" applyBorder="1" applyAlignment="1">
      <alignment vertical="center"/>
    </xf>
    <xf numFmtId="0" fontId="12" fillId="7" borderId="2"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6" fillId="0" borderId="3"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6" fillId="4" borderId="51"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5" fillId="4" borderId="4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0" xfId="0" applyFont="1" applyBorder="1" applyAlignment="1">
      <alignment horizontal="center"/>
    </xf>
    <xf numFmtId="0" fontId="34" fillId="13" borderId="11"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4" fillId="4" borderId="34" xfId="0" applyFont="1" applyFill="1" applyBorder="1" applyAlignment="1">
      <alignment horizontal="left" vertical="center"/>
    </xf>
    <xf numFmtId="0" fontId="22" fillId="8" borderId="0" xfId="0" applyFont="1" applyFill="1" applyAlignment="1">
      <alignment horizontal="left" vertical="center"/>
    </xf>
    <xf numFmtId="0" fontId="23" fillId="0" borderId="0" xfId="11" applyFont="1" applyAlignment="1">
      <alignment horizontal="center"/>
    </xf>
    <xf numFmtId="0" fontId="22" fillId="8" borderId="0" xfId="11" applyFont="1" applyFill="1" applyAlignment="1">
      <alignment horizontal="left" vertical="center"/>
    </xf>
    <xf numFmtId="0" fontId="26" fillId="0" borderId="0" xfId="11" applyFont="1" applyAlignment="1">
      <alignment horizontal="center"/>
    </xf>
    <xf numFmtId="0" fontId="40" fillId="0" borderId="0" xfId="0" applyFont="1" applyAlignment="1"/>
    <xf numFmtId="0" fontId="39" fillId="0" borderId="0" xfId="0" applyFont="1" applyAlignment="1"/>
    <xf numFmtId="0" fontId="39" fillId="0" borderId="0" xfId="0" applyFont="1" applyAlignment="1">
      <alignment horizontal="right"/>
    </xf>
    <xf numFmtId="0" fontId="0" fillId="0" borderId="0" xfId="0" applyAlignment="1"/>
    <xf numFmtId="0" fontId="0" fillId="0" borderId="77" xfId="0" applyBorder="1" applyAlignment="1"/>
    <xf numFmtId="14" fontId="5" fillId="0" borderId="0" xfId="0" applyNumberFormat="1" applyFont="1" applyAlignment="1"/>
    <xf numFmtId="0" fontId="5" fillId="0" borderId="0" xfId="0" applyFont="1" applyAlignment="1"/>
    <xf numFmtId="0" fontId="41" fillId="17" borderId="0" xfId="0" quotePrefix="1" applyFont="1" applyFill="1" applyBorder="1" applyAlignment="1">
      <alignment horizontal="center" vertical="center"/>
    </xf>
    <xf numFmtId="0" fontId="0" fillId="0" borderId="0" xfId="0" applyBorder="1" applyAlignment="1">
      <alignment horizontal="center" vertical="center"/>
    </xf>
    <xf numFmtId="0" fontId="41" fillId="17" borderId="76" xfId="0" quotePrefix="1" applyFont="1" applyFill="1"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41" fillId="17" borderId="35" xfId="0" quotePrefix="1"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cellXfs>
  <cellStyles count="14">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2" xfId="13"/>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697E-2"/>
        </c:manualLayout>
      </c:layout>
      <c:overlay val="0"/>
      <c:spPr>
        <a:noFill/>
        <a:ln w="25400">
          <a:noFill/>
        </a:ln>
      </c:spPr>
    </c:title>
    <c:autoTitleDeleted val="0"/>
    <c:plotArea>
      <c:layout>
        <c:manualLayout>
          <c:layoutTarget val="inner"/>
          <c:xMode val="edge"/>
          <c:yMode val="edge"/>
          <c:x val="0.32022471910112382"/>
          <c:y val="0.34866030838537332"/>
          <c:w val="0.38483146067415902"/>
          <c:h val="0.5249061785581996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6E-4CD8-8F87-48B4142522D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A6E-4CD8-8F87-48B4142522D4}"/>
              </c:ext>
            </c:extLst>
          </c:dPt>
          <c:dLbls>
            <c:dLbl>
              <c:idx val="1"/>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6E-4CD8-8F87-48B4142522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Summary'!$E$9:$F$9</c:f>
              <c:numCache>
                <c:formatCode>#,##0.00_);\(#,##0.00\)</c:formatCode>
                <c:ptCount val="2"/>
                <c:pt idx="0">
                  <c:v>0</c:v>
                </c:pt>
                <c:pt idx="1">
                  <c:v>0</c:v>
                </c:pt>
              </c:numCache>
            </c:numRef>
          </c:val>
          <c:extLst>
            <c:ext xmlns:c16="http://schemas.microsoft.com/office/drawing/2014/chart" uri="{C3380CC4-5D6E-409C-BE32-E72D297353CC}">
              <c16:uniqueId val="{00000003-9A6E-4CD8-8F87-48B4142522D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15298494192"/>
          <c:y val="3.0769397626949524E-2"/>
        </c:manualLayout>
      </c:layout>
      <c:overlay val="0"/>
      <c:spPr>
        <a:noFill/>
        <a:ln w="25400">
          <a:noFill/>
        </a:ln>
      </c:spPr>
    </c:title>
    <c:autoTitleDeleted val="0"/>
    <c:plotArea>
      <c:layout>
        <c:manualLayout>
          <c:layoutTarget val="inner"/>
          <c:xMode val="edge"/>
          <c:yMode val="edge"/>
          <c:x val="0.15211288527850639"/>
          <c:y val="0.17307692307692321"/>
          <c:w val="0.80845181620243511"/>
          <c:h val="0.68076923076923079"/>
        </c:manualLayout>
      </c:layout>
      <c:barChart>
        <c:barDir val="col"/>
        <c:grouping val="clustered"/>
        <c:varyColors val="0"/>
        <c:ser>
          <c:idx val="0"/>
          <c:order val="0"/>
          <c:tx>
            <c:v>Cummulative Savings at Current Energy Prices</c:v>
          </c:tx>
          <c:spPr>
            <a:solidFill>
              <a:srgbClr val="9999FF"/>
            </a:solidFill>
            <a:ln w="12700">
              <a:solidFill>
                <a:srgbClr val="000000"/>
              </a:solidFill>
              <a:prstDash val="solid"/>
            </a:ln>
          </c:spPr>
          <c:invertIfNegative val="0"/>
          <c:val>
            <c:numRef>
              <c:f>'Financial Summary'!$D$12:$D$16</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5C02-4671-8507-C09D8194D94A}"/>
            </c:ext>
          </c:extLst>
        </c:ser>
        <c:dLbls>
          <c:showLegendKey val="0"/>
          <c:showVal val="0"/>
          <c:showCatName val="0"/>
          <c:showSerName val="0"/>
          <c:showPercent val="0"/>
          <c:showBubbleSize val="0"/>
        </c:dLbls>
        <c:gapWidth val="30"/>
        <c:axId val="173790336"/>
        <c:axId val="173792256"/>
      </c:barChart>
      <c:catAx>
        <c:axId val="1737903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7040308988"/>
              <c:y val="0.91410251404524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792256"/>
        <c:crosses val="autoZero"/>
        <c:auto val="1"/>
        <c:lblAlgn val="ctr"/>
        <c:lblOffset val="100"/>
        <c:tickLblSkip val="1"/>
        <c:tickMarkSkip val="1"/>
        <c:noMultiLvlLbl val="0"/>
      </c:catAx>
      <c:valAx>
        <c:axId val="173792256"/>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790336"/>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firstButton="1" fmlaLink="$B$5"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firstButton="1" fmlaLink="$B$4"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B$4"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B$4" lockText="1"/>
</file>

<file path=xl/ctrlProps/ctrlProp4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INSTRUCTIONS FOR THE INTERACTIVE COMMERCIAL COOLING REBATE APPLICATION</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Customer Information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Check-boxes can be selected or deselected using the mouse.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(Rooftops)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 line  information  in columns A, B and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D, select the correct unit code from Table 1.  Once the code is in the cell, the Minimum Efficiency (Column I), Base Rebate $/Ton (Column N) and Bonus Rebate**$/Ton  (Column Q)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(Chillers-W)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Eff. (Column I), IPLV Eff.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Eff. (Columns J) , Rated IPLV Eff. (Column L) and Qty (Column M) columns have been filled out, the  Base Rebate (Column Q) and Total Eff Bomus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(Chillers-A)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EER (Column I), IPLV EER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EER (Columns J) Rated IPLV EER (Column L) and Qty. (Column M) columns have been filled out, the Base Rebate (Column Q) and Total Eff Bonus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Cooling RTU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Water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Air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Financial Summary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on this sheet are calculated.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Terms &amp; Conditions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Standard terms and conditions for the rebate program are listed.  No entry by the user.</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EQUIPMENT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A</a:t>
          </a:r>
          <a:r>
            <a:rPr lang="en-US" sz="1000" b="0" i="0" strike="noStrike">
              <a:solidFill>
                <a:srgbClr val="000000"/>
              </a:solidFill>
              <a:latin typeface="Arial Black"/>
            </a:rPr>
            <a:t>.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baseline="0">
              <a:solidFill>
                <a:srgbClr val="000000"/>
              </a:solidFill>
              <a:latin typeface="Arial Black"/>
            </a:rPr>
            <a:t> SECTION B.</a:t>
          </a:r>
          <a:r>
            <a:rPr lang="en-US" sz="1000" b="0" i="0" strike="noStrike">
              <a:solidFill>
                <a:srgbClr val="000000"/>
              </a:solidFill>
              <a:latin typeface="Arial Black"/>
            </a:rPr>
            <a:t>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 SECTION C.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xdr:twoCellAnchor>
    <xdr:from>
      <xdr:col>6</xdr:col>
      <xdr:colOff>133350</xdr:colOff>
      <xdr:row>59</xdr:row>
      <xdr:rowOff>142874</xdr:rowOff>
    </xdr:from>
    <xdr:to>
      <xdr:col>11</xdr:col>
      <xdr:colOff>733424</xdr:colOff>
      <xdr:row>68</xdr:row>
      <xdr:rowOff>95250</xdr:rowOff>
    </xdr:to>
    <xdr:grpSp>
      <xdr:nvGrpSpPr>
        <xdr:cNvPr id="72" name="Group 37"/>
        <xdr:cNvGrpSpPr>
          <a:grpSpLocks/>
        </xdr:cNvGrpSpPr>
      </xdr:nvGrpSpPr>
      <xdr:grpSpPr bwMode="auto">
        <a:xfrm>
          <a:off x="3599757" y="9120620"/>
          <a:ext cx="3742285" cy="1623234"/>
          <a:chOff x="3238500" y="8410574"/>
          <a:chExt cx="3638550" cy="1514475"/>
        </a:xfrm>
        <a:solidFill>
          <a:schemeClr val="bg1">
            <a:lumMod val="85000"/>
          </a:schemeClr>
        </a:solidFill>
      </xdr:grpSpPr>
      <xdr:sp macro="" textlink="">
        <xdr:nvSpPr>
          <xdr:cNvPr id="30"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71" name="Group 36"/>
          <xdr:cNvGrpSpPr>
            <a:grpSpLocks/>
          </xdr:cNvGrpSpPr>
        </xdr:nvGrpSpPr>
        <xdr:grpSpPr bwMode="auto">
          <a:xfrm>
            <a:off x="3270049" y="8499140"/>
            <a:ext cx="3560994" cy="1346199"/>
            <a:chOff x="3409950" y="8607985"/>
            <a:chExt cx="3571875" cy="1357487"/>
          </a:xfrm>
          <a:grpFill/>
        </xdr:grpSpPr>
        <xdr:sp macro="" textlink="">
          <xdr:nvSpPr>
            <xdr:cNvPr id="32"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33"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34"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35"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36"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7"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8"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9"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40"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1"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2"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3"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4"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5"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6"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47" name="TextBox 46"/>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mc:AlternateContent xmlns:mc="http://schemas.openxmlformats.org/markup-compatibility/2006">
    <mc:Choice xmlns:a14="http://schemas.microsoft.com/office/drawing/2010/main" Requires="a14">
      <xdr:twoCellAnchor editAs="oneCell">
        <xdr:from>
          <xdr:col>1</xdr:col>
          <xdr:colOff>16625</xdr:colOff>
          <xdr:row>45</xdr:row>
          <xdr:rowOff>8313</xdr:rowOff>
        </xdr:from>
        <xdr:to>
          <xdr:col>1</xdr:col>
          <xdr:colOff>324196</xdr:colOff>
          <xdr:row>46</xdr:row>
          <xdr:rowOff>83127</xdr:rowOff>
        </xdr:to>
        <xdr:sp macro="" textlink="">
          <xdr:nvSpPr>
            <xdr:cNvPr id="540697" name="Check Box 25" hidden="1">
              <a:extLst>
                <a:ext uri="{63B3BB69-23CF-44E3-9099-C40C66FF867C}">
                  <a14:compatExt spid="_x0000_s540697"/>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21</xdr:row>
          <xdr:rowOff>8313</xdr:rowOff>
        </xdr:from>
        <xdr:to>
          <xdr:col>4</xdr:col>
          <xdr:colOff>16625</xdr:colOff>
          <xdr:row>22</xdr:row>
          <xdr:rowOff>24938</xdr:rowOff>
        </xdr:to>
        <xdr:sp macro="" textlink="">
          <xdr:nvSpPr>
            <xdr:cNvPr id="541640" name="Option Button 968" hidden="1">
              <a:extLst>
                <a:ext uri="{63B3BB69-23CF-44E3-9099-C40C66FF867C}">
                  <a14:compatExt spid="_x0000_s54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340822</xdr:colOff>
          <xdr:row>21</xdr:row>
          <xdr:rowOff>8313</xdr:rowOff>
        </xdr:from>
        <xdr:to>
          <xdr:col>5</xdr:col>
          <xdr:colOff>182880</xdr:colOff>
          <xdr:row>22</xdr:row>
          <xdr:rowOff>24938</xdr:rowOff>
        </xdr:to>
        <xdr:sp macro="" textlink="">
          <xdr:nvSpPr>
            <xdr:cNvPr id="541641" name="Option Button 969" hidden="1">
              <a:extLst>
                <a:ext uri="{63B3BB69-23CF-44E3-9099-C40C66FF867C}">
                  <a14:compatExt spid="_x0000_s54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540327</xdr:colOff>
          <xdr:row>21</xdr:row>
          <xdr:rowOff>8313</xdr:rowOff>
        </xdr:from>
        <xdr:to>
          <xdr:col>6</xdr:col>
          <xdr:colOff>174567</xdr:colOff>
          <xdr:row>22</xdr:row>
          <xdr:rowOff>24938</xdr:rowOff>
        </xdr:to>
        <xdr:sp macro="" textlink="">
          <xdr:nvSpPr>
            <xdr:cNvPr id="541642" name="Option Button 970" hidden="1">
              <a:extLst>
                <a:ext uri="{63B3BB69-23CF-44E3-9099-C40C66FF867C}">
                  <a14:compatExt spid="_x0000_s54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21</xdr:row>
          <xdr:rowOff>8313</xdr:rowOff>
        </xdr:from>
        <xdr:to>
          <xdr:col>7</xdr:col>
          <xdr:colOff>573578</xdr:colOff>
          <xdr:row>22</xdr:row>
          <xdr:rowOff>24938</xdr:rowOff>
        </xdr:to>
        <xdr:sp macro="" textlink="">
          <xdr:nvSpPr>
            <xdr:cNvPr id="541643" name="Option Button 971" hidden="1">
              <a:extLst>
                <a:ext uri="{63B3BB69-23CF-44E3-9099-C40C66FF867C}">
                  <a14:compatExt spid="_x0000_s54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174567</xdr:colOff>
          <xdr:row>21</xdr:row>
          <xdr:rowOff>8313</xdr:rowOff>
        </xdr:from>
        <xdr:to>
          <xdr:col>9</xdr:col>
          <xdr:colOff>8313</xdr:colOff>
          <xdr:row>22</xdr:row>
          <xdr:rowOff>24938</xdr:rowOff>
        </xdr:to>
        <xdr:sp macro="" textlink="">
          <xdr:nvSpPr>
            <xdr:cNvPr id="541644" name="Option Button 972" hidden="1">
              <a:extLst>
                <a:ext uri="{63B3BB69-23CF-44E3-9099-C40C66FF867C}">
                  <a14:compatExt spid="_x0000_s5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21</xdr:row>
          <xdr:rowOff>8313</xdr:rowOff>
        </xdr:from>
        <xdr:to>
          <xdr:col>10</xdr:col>
          <xdr:colOff>199505</xdr:colOff>
          <xdr:row>22</xdr:row>
          <xdr:rowOff>24938</xdr:rowOff>
        </xdr:to>
        <xdr:sp macro="" textlink="">
          <xdr:nvSpPr>
            <xdr:cNvPr id="541645" name="Option Button 973" hidden="1">
              <a:extLst>
                <a:ext uri="{63B3BB69-23CF-44E3-9099-C40C66FF867C}">
                  <a14:compatExt spid="_x0000_s54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22</xdr:row>
          <xdr:rowOff>16625</xdr:rowOff>
        </xdr:from>
        <xdr:to>
          <xdr:col>4</xdr:col>
          <xdr:colOff>16625</xdr:colOff>
          <xdr:row>23</xdr:row>
          <xdr:rowOff>16625</xdr:rowOff>
        </xdr:to>
        <xdr:sp macro="" textlink="">
          <xdr:nvSpPr>
            <xdr:cNvPr id="541646" name="Option Button 974" hidden="1">
              <a:extLst>
                <a:ext uri="{63B3BB69-23CF-44E3-9099-C40C66FF867C}">
                  <a14:compatExt spid="_x0000_s54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340822</xdr:colOff>
          <xdr:row>22</xdr:row>
          <xdr:rowOff>16625</xdr:rowOff>
        </xdr:from>
        <xdr:to>
          <xdr:col>5</xdr:col>
          <xdr:colOff>182880</xdr:colOff>
          <xdr:row>23</xdr:row>
          <xdr:rowOff>16625</xdr:rowOff>
        </xdr:to>
        <xdr:sp macro="" textlink="">
          <xdr:nvSpPr>
            <xdr:cNvPr id="541647" name="Option Button 975" hidden="1">
              <a:extLst>
                <a:ext uri="{63B3BB69-23CF-44E3-9099-C40C66FF867C}">
                  <a14:compatExt spid="_x0000_s54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540327</xdr:colOff>
          <xdr:row>22</xdr:row>
          <xdr:rowOff>16625</xdr:rowOff>
        </xdr:from>
        <xdr:to>
          <xdr:col>6</xdr:col>
          <xdr:colOff>174567</xdr:colOff>
          <xdr:row>23</xdr:row>
          <xdr:rowOff>16625</xdr:rowOff>
        </xdr:to>
        <xdr:sp macro="" textlink="">
          <xdr:nvSpPr>
            <xdr:cNvPr id="541648" name="Option Button 976" hidden="1">
              <a:extLst>
                <a:ext uri="{63B3BB69-23CF-44E3-9099-C40C66FF867C}">
                  <a14:compatExt spid="_x0000_s54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22</xdr:row>
          <xdr:rowOff>16625</xdr:rowOff>
        </xdr:from>
        <xdr:to>
          <xdr:col>7</xdr:col>
          <xdr:colOff>573578</xdr:colOff>
          <xdr:row>23</xdr:row>
          <xdr:rowOff>16625</xdr:rowOff>
        </xdr:to>
        <xdr:sp macro="" textlink="">
          <xdr:nvSpPr>
            <xdr:cNvPr id="541649" name="Option Button 977" hidden="1">
              <a:extLst>
                <a:ext uri="{63B3BB69-23CF-44E3-9099-C40C66FF867C}">
                  <a14:compatExt spid="_x0000_s54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174567</xdr:colOff>
          <xdr:row>22</xdr:row>
          <xdr:rowOff>16625</xdr:rowOff>
        </xdr:from>
        <xdr:to>
          <xdr:col>9</xdr:col>
          <xdr:colOff>8313</xdr:colOff>
          <xdr:row>23</xdr:row>
          <xdr:rowOff>16625</xdr:rowOff>
        </xdr:to>
        <xdr:sp macro="" textlink="">
          <xdr:nvSpPr>
            <xdr:cNvPr id="541650" name="Option Button 978" hidden="1">
              <a:extLst>
                <a:ext uri="{63B3BB69-23CF-44E3-9099-C40C66FF867C}">
                  <a14:compatExt spid="_x0000_s54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22</xdr:row>
          <xdr:rowOff>16625</xdr:rowOff>
        </xdr:from>
        <xdr:to>
          <xdr:col>10</xdr:col>
          <xdr:colOff>199505</xdr:colOff>
          <xdr:row>23</xdr:row>
          <xdr:rowOff>16625</xdr:rowOff>
        </xdr:to>
        <xdr:sp macro="" textlink="">
          <xdr:nvSpPr>
            <xdr:cNvPr id="541651" name="Option Button 979" hidden="1">
              <a:extLst>
                <a:ext uri="{63B3BB69-23CF-44E3-9099-C40C66FF867C}">
                  <a14:compatExt spid="_x0000_s54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116378</xdr:colOff>
          <xdr:row>17</xdr:row>
          <xdr:rowOff>66502</xdr:rowOff>
        </xdr:from>
        <xdr:to>
          <xdr:col>11</xdr:col>
          <xdr:colOff>798022</xdr:colOff>
          <xdr:row>20</xdr:row>
          <xdr:rowOff>16625</xdr:rowOff>
        </xdr:to>
        <xdr:sp macro="" textlink="">
          <xdr:nvSpPr>
            <xdr:cNvPr id="541652" name="Group Box 980" hidden="1">
              <a:extLst>
                <a:ext uri="{63B3BB69-23CF-44E3-9099-C40C66FF867C}">
                  <a14:compatExt spid="_x0000_s54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415636</xdr:colOff>
          <xdr:row>18</xdr:row>
          <xdr:rowOff>58189</xdr:rowOff>
        </xdr:from>
        <xdr:to>
          <xdr:col>9</xdr:col>
          <xdr:colOff>266007</xdr:colOff>
          <xdr:row>19</xdr:row>
          <xdr:rowOff>83127</xdr:rowOff>
        </xdr:to>
        <xdr:sp macro="" textlink="">
          <xdr:nvSpPr>
            <xdr:cNvPr id="541653" name="Option Button 981" hidden="1">
              <a:extLst>
                <a:ext uri="{63B3BB69-23CF-44E3-9099-C40C66FF867C}">
                  <a14:compatExt spid="_x0000_s54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332509</xdr:colOff>
          <xdr:row>18</xdr:row>
          <xdr:rowOff>58189</xdr:rowOff>
        </xdr:from>
        <xdr:to>
          <xdr:col>11</xdr:col>
          <xdr:colOff>689956</xdr:colOff>
          <xdr:row>19</xdr:row>
          <xdr:rowOff>83127</xdr:rowOff>
        </xdr:to>
        <xdr:sp macro="" textlink="">
          <xdr:nvSpPr>
            <xdr:cNvPr id="541654" name="Option Button 982" hidden="1">
              <a:extLst>
                <a:ext uri="{63B3BB69-23CF-44E3-9099-C40C66FF867C}">
                  <a14:compatExt spid="_x0000_s54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83127</xdr:colOff>
          <xdr:row>20</xdr:row>
          <xdr:rowOff>174567</xdr:rowOff>
        </xdr:from>
        <xdr:to>
          <xdr:col>11</xdr:col>
          <xdr:colOff>764771</xdr:colOff>
          <xdr:row>23</xdr:row>
          <xdr:rowOff>74815</xdr:rowOff>
        </xdr:to>
        <xdr:sp macro="" textlink="">
          <xdr:nvSpPr>
            <xdr:cNvPr id="541655" name="Group Box 983" hidden="1">
              <a:extLst>
                <a:ext uri="{63B3BB69-23CF-44E3-9099-C40C66FF867C}">
                  <a14:compatExt spid="_x0000_s541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83127</xdr:colOff>
          <xdr:row>24</xdr:row>
          <xdr:rowOff>0</xdr:rowOff>
        </xdr:from>
        <xdr:to>
          <xdr:col>11</xdr:col>
          <xdr:colOff>773084</xdr:colOff>
          <xdr:row>28</xdr:row>
          <xdr:rowOff>41564</xdr:rowOff>
        </xdr:to>
        <xdr:sp macro="" textlink="">
          <xdr:nvSpPr>
            <xdr:cNvPr id="541656" name="Group Box 984" hidden="1">
              <a:extLst>
                <a:ext uri="{63B3BB69-23CF-44E3-9099-C40C66FF867C}">
                  <a14:compatExt spid="_x0000_s54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515389</xdr:colOff>
          <xdr:row>26</xdr:row>
          <xdr:rowOff>0</xdr:rowOff>
        </xdr:from>
        <xdr:to>
          <xdr:col>3</xdr:col>
          <xdr:colOff>257695</xdr:colOff>
          <xdr:row>27</xdr:row>
          <xdr:rowOff>16625</xdr:rowOff>
        </xdr:to>
        <xdr:sp macro="" textlink="">
          <xdr:nvSpPr>
            <xdr:cNvPr id="541657" name="Option Button 985" hidden="1">
              <a:extLst>
                <a:ext uri="{63B3BB69-23CF-44E3-9099-C40C66FF867C}">
                  <a14:compatExt spid="_x0000_s54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565265</xdr:colOff>
          <xdr:row>26</xdr:row>
          <xdr:rowOff>0</xdr:rowOff>
        </xdr:from>
        <xdr:to>
          <xdr:col>4</xdr:col>
          <xdr:colOff>598516</xdr:colOff>
          <xdr:row>27</xdr:row>
          <xdr:rowOff>24938</xdr:rowOff>
        </xdr:to>
        <xdr:sp macro="" textlink="">
          <xdr:nvSpPr>
            <xdr:cNvPr id="541658" name="Option Button 986" hidden="1">
              <a:extLst>
                <a:ext uri="{63B3BB69-23CF-44E3-9099-C40C66FF867C}">
                  <a14:compatExt spid="_x0000_s54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41564</xdr:colOff>
          <xdr:row>26</xdr:row>
          <xdr:rowOff>0</xdr:rowOff>
        </xdr:from>
        <xdr:to>
          <xdr:col>6</xdr:col>
          <xdr:colOff>108065</xdr:colOff>
          <xdr:row>27</xdr:row>
          <xdr:rowOff>24938</xdr:rowOff>
        </xdr:to>
        <xdr:sp macro="" textlink="">
          <xdr:nvSpPr>
            <xdr:cNvPr id="541659" name="Option Button 987" hidden="1">
              <a:extLst>
                <a:ext uri="{63B3BB69-23CF-44E3-9099-C40C66FF867C}">
                  <a14:compatExt spid="_x0000_s54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26</xdr:row>
          <xdr:rowOff>0</xdr:rowOff>
        </xdr:from>
        <xdr:to>
          <xdr:col>7</xdr:col>
          <xdr:colOff>573578</xdr:colOff>
          <xdr:row>27</xdr:row>
          <xdr:rowOff>16625</xdr:rowOff>
        </xdr:to>
        <xdr:sp macro="" textlink="">
          <xdr:nvSpPr>
            <xdr:cNvPr id="541660" name="Option Button 988" hidden="1">
              <a:extLst>
                <a:ext uri="{63B3BB69-23CF-44E3-9099-C40C66FF867C}">
                  <a14:compatExt spid="_x0000_s54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390698</xdr:colOff>
          <xdr:row>26</xdr:row>
          <xdr:rowOff>0</xdr:rowOff>
        </xdr:from>
        <xdr:to>
          <xdr:col>9</xdr:col>
          <xdr:colOff>232756</xdr:colOff>
          <xdr:row>27</xdr:row>
          <xdr:rowOff>16625</xdr:rowOff>
        </xdr:to>
        <xdr:sp macro="" textlink="">
          <xdr:nvSpPr>
            <xdr:cNvPr id="541661" name="Option Button 989" hidden="1">
              <a:extLst>
                <a:ext uri="{63B3BB69-23CF-44E3-9099-C40C66FF867C}">
                  <a14:compatExt spid="_x0000_s54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26</xdr:row>
          <xdr:rowOff>0</xdr:rowOff>
        </xdr:from>
        <xdr:to>
          <xdr:col>10</xdr:col>
          <xdr:colOff>199505</xdr:colOff>
          <xdr:row>27</xdr:row>
          <xdr:rowOff>16625</xdr:rowOff>
        </xdr:to>
        <xdr:sp macro="" textlink="">
          <xdr:nvSpPr>
            <xdr:cNvPr id="541662" name="Option Button 990" hidden="1">
              <a:extLst>
                <a:ext uri="{63B3BB69-23CF-44E3-9099-C40C66FF867C}">
                  <a14:compatExt spid="_x0000_s54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8313</xdr:rowOff>
        </xdr:from>
        <xdr:to>
          <xdr:col>2</xdr:col>
          <xdr:colOff>349135</xdr:colOff>
          <xdr:row>28</xdr:row>
          <xdr:rowOff>8313</xdr:rowOff>
        </xdr:to>
        <xdr:sp macro="" textlink="">
          <xdr:nvSpPr>
            <xdr:cNvPr id="541663" name="Option Button 991" hidden="1">
              <a:extLst>
                <a:ext uri="{63B3BB69-23CF-44E3-9099-C40C66FF867C}">
                  <a14:compatExt spid="_x0000_s54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241069</xdr:colOff>
          <xdr:row>27</xdr:row>
          <xdr:rowOff>8313</xdr:rowOff>
        </xdr:from>
        <xdr:to>
          <xdr:col>4</xdr:col>
          <xdr:colOff>74815</xdr:colOff>
          <xdr:row>28</xdr:row>
          <xdr:rowOff>8313</xdr:rowOff>
        </xdr:to>
        <xdr:sp macro="" textlink="">
          <xdr:nvSpPr>
            <xdr:cNvPr id="541664" name="Option Button 992" hidden="1">
              <a:extLst>
                <a:ext uri="{63B3BB69-23CF-44E3-9099-C40C66FF867C}">
                  <a14:compatExt spid="_x0000_s54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440575</xdr:colOff>
          <xdr:row>27</xdr:row>
          <xdr:rowOff>8313</xdr:rowOff>
        </xdr:from>
        <xdr:to>
          <xdr:col>5</xdr:col>
          <xdr:colOff>274320</xdr:colOff>
          <xdr:row>28</xdr:row>
          <xdr:rowOff>8313</xdr:rowOff>
        </xdr:to>
        <xdr:sp macro="" textlink="">
          <xdr:nvSpPr>
            <xdr:cNvPr id="541665" name="Option Button 993" hidden="1">
              <a:extLst>
                <a:ext uri="{63B3BB69-23CF-44E3-9099-C40C66FF867C}">
                  <a14:compatExt spid="_x0000_s5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257695</xdr:colOff>
          <xdr:row>27</xdr:row>
          <xdr:rowOff>8313</xdr:rowOff>
        </xdr:from>
        <xdr:to>
          <xdr:col>6</xdr:col>
          <xdr:colOff>498764</xdr:colOff>
          <xdr:row>28</xdr:row>
          <xdr:rowOff>8313</xdr:rowOff>
        </xdr:to>
        <xdr:sp macro="" textlink="">
          <xdr:nvSpPr>
            <xdr:cNvPr id="541666" name="Option Button 994" hidden="1">
              <a:extLst>
                <a:ext uri="{63B3BB69-23CF-44E3-9099-C40C66FF867C}">
                  <a14:compatExt spid="_x0000_s5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27</xdr:row>
          <xdr:rowOff>8313</xdr:rowOff>
        </xdr:from>
        <xdr:to>
          <xdr:col>10</xdr:col>
          <xdr:colOff>199505</xdr:colOff>
          <xdr:row>28</xdr:row>
          <xdr:rowOff>8313</xdr:rowOff>
        </xdr:to>
        <xdr:sp macro="" textlink="">
          <xdr:nvSpPr>
            <xdr:cNvPr id="541667" name="Option Button 995" hidden="1">
              <a:extLst>
                <a:ext uri="{63B3BB69-23CF-44E3-9099-C40C66FF867C}">
                  <a14:compatExt spid="_x0000_s5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465513</xdr:colOff>
          <xdr:row>27</xdr:row>
          <xdr:rowOff>0</xdr:rowOff>
        </xdr:from>
        <xdr:to>
          <xdr:col>8</xdr:col>
          <xdr:colOff>532015</xdr:colOff>
          <xdr:row>28</xdr:row>
          <xdr:rowOff>8313</xdr:rowOff>
        </xdr:to>
        <xdr:sp macro="" textlink="">
          <xdr:nvSpPr>
            <xdr:cNvPr id="541668" name="Option Button 996" hidden="1">
              <a:extLst>
                <a:ext uri="{63B3BB69-23CF-44E3-9099-C40C66FF867C}">
                  <a14:compatExt spid="_x0000_s54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11</xdr:col>
      <xdr:colOff>804058</xdr:colOff>
      <xdr:row>5</xdr:row>
      <xdr:rowOff>0</xdr:rowOff>
    </xdr:to>
    <xdr:pic>
      <xdr:nvPicPr>
        <xdr:cNvPr id="6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3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79900</xdr:colOff>
      <xdr:row>60</xdr:row>
      <xdr:rowOff>1</xdr:rowOff>
    </xdr:from>
    <xdr:to>
      <xdr:col>5</xdr:col>
      <xdr:colOff>682100</xdr:colOff>
      <xdr:row>68</xdr:row>
      <xdr:rowOff>101195</xdr:rowOff>
    </xdr:to>
    <xdr:pic>
      <xdr:nvPicPr>
        <xdr:cNvPr id="6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03725" y="9248776"/>
          <a:ext cx="3135850" cy="162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49876</xdr:colOff>
          <xdr:row>3</xdr:row>
          <xdr:rowOff>0</xdr:rowOff>
        </xdr:from>
        <xdr:to>
          <xdr:col>3</xdr:col>
          <xdr:colOff>0</xdr:colOff>
          <xdr:row>4</xdr:row>
          <xdr:rowOff>74815</xdr:rowOff>
        </xdr:to>
        <xdr:sp macro="" textlink="">
          <xdr:nvSpPr>
            <xdr:cNvPr id="3221" name="Option Button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49876</xdr:colOff>
          <xdr:row>3</xdr:row>
          <xdr:rowOff>108065</xdr:rowOff>
        </xdr:from>
        <xdr:to>
          <xdr:col>3</xdr:col>
          <xdr:colOff>0</xdr:colOff>
          <xdr:row>5</xdr:row>
          <xdr:rowOff>41564</xdr:rowOff>
        </xdr:to>
        <xdr:sp macro="" textlink="">
          <xdr:nvSpPr>
            <xdr:cNvPr id="3222" name="Option Button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4</xdr:row>
          <xdr:rowOff>257695</xdr:rowOff>
        </xdr:from>
        <xdr:to>
          <xdr:col>6</xdr:col>
          <xdr:colOff>365760</xdr:colOff>
          <xdr:row>6</xdr:row>
          <xdr:rowOff>0</xdr:rowOff>
        </xdr:to>
        <xdr:sp macro="" textlink="">
          <xdr:nvSpPr>
            <xdr:cNvPr id="3231" name="Option Button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5</xdr:row>
          <xdr:rowOff>174567</xdr:rowOff>
        </xdr:from>
        <xdr:to>
          <xdr:col>6</xdr:col>
          <xdr:colOff>365760</xdr:colOff>
          <xdr:row>6</xdr:row>
          <xdr:rowOff>191193</xdr:rowOff>
        </xdr:to>
        <xdr:sp macro="" textlink="">
          <xdr:nvSpPr>
            <xdr:cNvPr id="3232" name="Option Button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58189</xdr:colOff>
          <xdr:row>1</xdr:row>
          <xdr:rowOff>257695</xdr:rowOff>
        </xdr:from>
        <xdr:to>
          <xdr:col>2</xdr:col>
          <xdr:colOff>365760</xdr:colOff>
          <xdr:row>3</xdr:row>
          <xdr:rowOff>0</xdr:rowOff>
        </xdr:to>
        <xdr:sp macro="" textlink="">
          <xdr:nvSpPr>
            <xdr:cNvPr id="658433" name="Option Button 1" hidden="1">
              <a:extLst>
                <a:ext uri="{63B3BB69-23CF-44E3-9099-C40C66FF867C}">
                  <a14:compatExt spid="_x0000_s65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58189</xdr:colOff>
          <xdr:row>2</xdr:row>
          <xdr:rowOff>174567</xdr:rowOff>
        </xdr:from>
        <xdr:to>
          <xdr:col>2</xdr:col>
          <xdr:colOff>365760</xdr:colOff>
          <xdr:row>4</xdr:row>
          <xdr:rowOff>24938</xdr:rowOff>
        </xdr:to>
        <xdr:sp macro="" textlink="">
          <xdr:nvSpPr>
            <xdr:cNvPr id="658434" name="Option Button 2" hidden="1">
              <a:extLst>
                <a:ext uri="{63B3BB69-23CF-44E3-9099-C40C66FF867C}">
                  <a14:compatExt spid="_x0000_s65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58189</xdr:colOff>
          <xdr:row>3</xdr:row>
          <xdr:rowOff>257695</xdr:rowOff>
        </xdr:from>
        <xdr:to>
          <xdr:col>4</xdr:col>
          <xdr:colOff>365760</xdr:colOff>
          <xdr:row>5</xdr:row>
          <xdr:rowOff>0</xdr:rowOff>
        </xdr:to>
        <xdr:sp macro="" textlink="">
          <xdr:nvSpPr>
            <xdr:cNvPr id="658447" name="Option Button 15" hidden="1">
              <a:extLst>
                <a:ext uri="{63B3BB69-23CF-44E3-9099-C40C66FF867C}">
                  <a14:compatExt spid="_x0000_s65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58189</xdr:colOff>
          <xdr:row>4</xdr:row>
          <xdr:rowOff>174567</xdr:rowOff>
        </xdr:from>
        <xdr:to>
          <xdr:col>4</xdr:col>
          <xdr:colOff>365760</xdr:colOff>
          <xdr:row>5</xdr:row>
          <xdr:rowOff>191193</xdr:rowOff>
        </xdr:to>
        <xdr:sp macro="" textlink="">
          <xdr:nvSpPr>
            <xdr:cNvPr id="658448" name="Option Button 16" hidden="1">
              <a:extLst>
                <a:ext uri="{63B3BB69-23CF-44E3-9099-C40C66FF867C}">
                  <a14:compatExt spid="_x0000_s65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58189</xdr:colOff>
          <xdr:row>1</xdr:row>
          <xdr:rowOff>257695</xdr:rowOff>
        </xdr:from>
        <xdr:to>
          <xdr:col>2</xdr:col>
          <xdr:colOff>349135</xdr:colOff>
          <xdr:row>2</xdr:row>
          <xdr:rowOff>207818</xdr:rowOff>
        </xdr:to>
        <xdr:sp macro="" textlink="">
          <xdr:nvSpPr>
            <xdr:cNvPr id="777217" name="Option Button 1" hidden="1">
              <a:extLst>
                <a:ext uri="{63B3BB69-23CF-44E3-9099-C40C66FF867C}">
                  <a14:compatExt spid="_x0000_s77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58189</xdr:colOff>
          <xdr:row>2</xdr:row>
          <xdr:rowOff>174567</xdr:rowOff>
        </xdr:from>
        <xdr:to>
          <xdr:col>2</xdr:col>
          <xdr:colOff>365760</xdr:colOff>
          <xdr:row>4</xdr:row>
          <xdr:rowOff>24938</xdr:rowOff>
        </xdr:to>
        <xdr:sp macro="" textlink="">
          <xdr:nvSpPr>
            <xdr:cNvPr id="777218" name="Option Button 2" hidden="1">
              <a:extLst>
                <a:ext uri="{63B3BB69-23CF-44E3-9099-C40C66FF867C}">
                  <a14:compatExt spid="_x0000_s77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3</xdr:row>
          <xdr:rowOff>257695</xdr:rowOff>
        </xdr:from>
        <xdr:to>
          <xdr:col>6</xdr:col>
          <xdr:colOff>365760</xdr:colOff>
          <xdr:row>5</xdr:row>
          <xdr:rowOff>0</xdr:rowOff>
        </xdr:to>
        <xdr:sp macro="" textlink="">
          <xdr:nvSpPr>
            <xdr:cNvPr id="777231" name="Option Button 15" hidden="1">
              <a:extLst>
                <a:ext uri="{63B3BB69-23CF-44E3-9099-C40C66FF867C}">
                  <a14:compatExt spid="_x0000_s77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4</xdr:row>
          <xdr:rowOff>174567</xdr:rowOff>
        </xdr:from>
        <xdr:to>
          <xdr:col>6</xdr:col>
          <xdr:colOff>365760</xdr:colOff>
          <xdr:row>5</xdr:row>
          <xdr:rowOff>191193</xdr:rowOff>
        </xdr:to>
        <xdr:sp macro="" textlink="">
          <xdr:nvSpPr>
            <xdr:cNvPr id="777232" name="Option Button 16" hidden="1">
              <a:extLst>
                <a:ext uri="{63B3BB69-23CF-44E3-9099-C40C66FF867C}">
                  <a14:compatExt spid="_x0000_s77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49876</xdr:colOff>
          <xdr:row>2</xdr:row>
          <xdr:rowOff>0</xdr:rowOff>
        </xdr:from>
        <xdr:to>
          <xdr:col>2</xdr:col>
          <xdr:colOff>340822</xdr:colOff>
          <xdr:row>3</xdr:row>
          <xdr:rowOff>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49876</xdr:colOff>
          <xdr:row>2</xdr:row>
          <xdr:rowOff>182880</xdr:rowOff>
        </xdr:from>
        <xdr:to>
          <xdr:col>2</xdr:col>
          <xdr:colOff>340822</xdr:colOff>
          <xdr:row>4</xdr:row>
          <xdr:rowOff>41564</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786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78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523875</xdr:colOff>
      <xdr:row>51</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19875" cy="854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workbookViewId="0">
      <selection activeCell="B70" sqref="B70"/>
    </sheetView>
  </sheetViews>
  <sheetFormatPr defaultColWidth="9.125" defaultRowHeight="15.05" x14ac:dyDescent="0.3"/>
  <cols>
    <col min="1" max="16384" width="9.125" style="33"/>
  </cols>
  <sheetData/>
  <printOptions horizontalCentered="1" verticalCentered="1"/>
  <pageMargins left="0.25" right="0.25" top="0.17" bottom="0.16" header="0.17" footer="0.18"/>
  <pageSetup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K51"/>
  <sheetViews>
    <sheetView zoomScale="85" zoomScaleNormal="85" zoomScaleSheetLayoutView="100" workbookViewId="0">
      <selection activeCell="B70" sqref="B70"/>
    </sheetView>
  </sheetViews>
  <sheetFormatPr defaultColWidth="9.125" defaultRowHeight="15.05" x14ac:dyDescent="0.3"/>
  <cols>
    <col min="1" max="1" width="5.375" style="33" customWidth="1"/>
    <col min="2" max="2" width="19.875" style="33" customWidth="1"/>
    <col min="3" max="3" width="18.625" style="33" customWidth="1"/>
    <col min="4" max="4" width="16" style="33" customWidth="1"/>
    <col min="5" max="5" width="18.125" style="33" customWidth="1"/>
    <col min="6" max="6" width="15.375" style="33" customWidth="1"/>
    <col min="7" max="7" width="9.125" style="33"/>
    <col min="8" max="8" width="9.125" style="33" customWidth="1"/>
    <col min="9" max="9" width="5.625" style="33" customWidth="1"/>
    <col min="10" max="10" width="9.125" style="33" customWidth="1"/>
    <col min="11" max="11" width="1.375" style="33" customWidth="1"/>
    <col min="12" max="16384" width="9.125" style="33"/>
  </cols>
  <sheetData>
    <row r="3" spans="2:11" ht="21.8" customHeight="1" x14ac:dyDescent="0.3">
      <c r="B3" s="19" t="s">
        <v>186</v>
      </c>
      <c r="C3" s="3">
        <f>'Customer Information'!CustomerName</f>
        <v>0</v>
      </c>
    </row>
    <row r="4" spans="2:11" ht="17.2" customHeight="1" x14ac:dyDescent="0.35">
      <c r="B4" s="19" t="s">
        <v>185</v>
      </c>
      <c r="C4" s="3">
        <f>'Customer Information'!CustomerInstallAddress</f>
        <v>0</v>
      </c>
      <c r="D4" s="784">
        <f>'Customer Information'!B10</f>
        <v>0</v>
      </c>
      <c r="E4" s="784"/>
    </row>
    <row r="5" spans="2:11" x14ac:dyDescent="0.3">
      <c r="B5" s="785" t="s">
        <v>84</v>
      </c>
      <c r="C5" s="785"/>
      <c r="D5" s="785"/>
      <c r="E5" s="785"/>
      <c r="F5" s="785"/>
      <c r="G5" s="785"/>
      <c r="H5" s="785"/>
      <c r="I5" s="785"/>
      <c r="J5" s="785"/>
      <c r="K5" s="49"/>
    </row>
    <row r="6" spans="2:11" ht="23.25" customHeight="1" x14ac:dyDescent="0.3">
      <c r="C6" s="50"/>
      <c r="D6" s="51" t="s">
        <v>85</v>
      </c>
      <c r="E6" s="51" t="s">
        <v>86</v>
      </c>
      <c r="F6" s="51" t="s">
        <v>87</v>
      </c>
    </row>
    <row r="7" spans="2:11" ht="15.75" x14ac:dyDescent="0.3">
      <c r="C7" s="52" t="s">
        <v>88</v>
      </c>
      <c r="D7" s="53">
        <f>'Rooftop Savings'!D22+'Water Cooled Chillers Savings'!D26+'Air Cooled Chillers Savings'!D26</f>
        <v>0</v>
      </c>
      <c r="E7" s="53">
        <f>'Rooftop Savings'!J22+'Water Cooled Chillers Savings'!J26+'Air Cooled Chillers Savings'!J26</f>
        <v>0</v>
      </c>
      <c r="F7" s="54">
        <f>D7-E7</f>
        <v>0</v>
      </c>
    </row>
    <row r="8" spans="2:11" ht="15.75" x14ac:dyDescent="0.3">
      <c r="C8" s="55" t="s">
        <v>89</v>
      </c>
      <c r="D8" s="56">
        <f>'Rooftop Savings'!C21+'Water Cooled Chillers Savings'!C25+'Air Cooled Chillers Savings'!C25</f>
        <v>0</v>
      </c>
      <c r="E8" s="56">
        <f>'Rooftop Savings'!I21+'Water Cooled Chillers Savings'!I25+'Air Cooled Chillers Savings'!I25</f>
        <v>0</v>
      </c>
      <c r="F8" s="56">
        <f>D8-E8</f>
        <v>0</v>
      </c>
    </row>
    <row r="9" spans="2:11" ht="15.75" x14ac:dyDescent="0.3">
      <c r="C9" s="55" t="s">
        <v>90</v>
      </c>
      <c r="D9" s="56">
        <f>'Rooftop Savings'!D21+'Water Cooled Chillers Savings'!D25+'Air Cooled Chillers Savings'!D25</f>
        <v>0</v>
      </c>
      <c r="E9" s="56">
        <f>'Rooftop Savings'!J21+'Water Cooled Chillers Savings'!J25+'Air Cooled Chillers Savings'!J25</f>
        <v>0</v>
      </c>
      <c r="F9" s="56">
        <f>D9-E9</f>
        <v>0</v>
      </c>
    </row>
    <row r="10" spans="2:11" ht="18" customHeight="1" x14ac:dyDescent="0.3"/>
    <row r="11" spans="2:11" hidden="1" x14ac:dyDescent="0.3">
      <c r="E11" s="33">
        <v>0</v>
      </c>
      <c r="F11" s="57">
        <f>-F29</f>
        <v>0</v>
      </c>
    </row>
    <row r="12" spans="2:11" hidden="1" x14ac:dyDescent="0.3">
      <c r="D12" s="206">
        <f>F12</f>
        <v>0</v>
      </c>
      <c r="E12" s="58" t="s">
        <v>91</v>
      </c>
      <c r="F12" s="59">
        <f>F7</f>
        <v>0</v>
      </c>
    </row>
    <row r="13" spans="2:11" hidden="1" x14ac:dyDescent="0.3">
      <c r="D13" s="206">
        <f>D12+F13</f>
        <v>0</v>
      </c>
      <c r="E13" s="58" t="s">
        <v>92</v>
      </c>
      <c r="F13" s="59">
        <f t="shared" ref="F13:F21" si="0">F12</f>
        <v>0</v>
      </c>
    </row>
    <row r="14" spans="2:11" hidden="1" x14ac:dyDescent="0.3">
      <c r="D14" s="206">
        <f>D13+F14</f>
        <v>0</v>
      </c>
      <c r="E14" s="58" t="s">
        <v>93</v>
      </c>
      <c r="F14" s="59">
        <f t="shared" si="0"/>
        <v>0</v>
      </c>
    </row>
    <row r="15" spans="2:11" hidden="1" x14ac:dyDescent="0.3">
      <c r="D15" s="206">
        <f>D14+F15</f>
        <v>0</v>
      </c>
      <c r="E15" s="58" t="s">
        <v>94</v>
      </c>
      <c r="F15" s="59">
        <f t="shared" si="0"/>
        <v>0</v>
      </c>
    </row>
    <row r="16" spans="2:11" hidden="1" x14ac:dyDescent="0.3">
      <c r="D16" s="206">
        <f>D15+F16</f>
        <v>0</v>
      </c>
      <c r="E16" s="58" t="s">
        <v>95</v>
      </c>
      <c r="F16" s="59">
        <f t="shared" si="0"/>
        <v>0</v>
      </c>
    </row>
    <row r="17" spans="2:10" hidden="1" x14ac:dyDescent="0.3">
      <c r="D17" s="207"/>
      <c r="E17" s="33">
        <v>6</v>
      </c>
      <c r="F17" s="59">
        <f t="shared" si="0"/>
        <v>0</v>
      </c>
    </row>
    <row r="18" spans="2:10" hidden="1" x14ac:dyDescent="0.3">
      <c r="E18" s="33">
        <v>7</v>
      </c>
      <c r="F18" s="59">
        <f t="shared" si="0"/>
        <v>0</v>
      </c>
    </row>
    <row r="19" spans="2:10" hidden="1" x14ac:dyDescent="0.3">
      <c r="E19" s="33">
        <v>8</v>
      </c>
      <c r="F19" s="59">
        <f t="shared" si="0"/>
        <v>0</v>
      </c>
    </row>
    <row r="20" spans="2:10" hidden="1" x14ac:dyDescent="0.3">
      <c r="E20" s="33">
        <v>9</v>
      </c>
      <c r="F20" s="59">
        <f t="shared" si="0"/>
        <v>0</v>
      </c>
    </row>
    <row r="21" spans="2:10" hidden="1" x14ac:dyDescent="0.3">
      <c r="E21" s="33">
        <v>10</v>
      </c>
      <c r="F21" s="59">
        <f t="shared" si="0"/>
        <v>0</v>
      </c>
    </row>
    <row r="24" spans="2:10" ht="169.55" customHeight="1" x14ac:dyDescent="0.3"/>
    <row r="25" spans="2:10" x14ac:dyDescent="0.3">
      <c r="B25" s="785" t="s">
        <v>222</v>
      </c>
      <c r="C25" s="785"/>
      <c r="D25" s="785"/>
      <c r="E25" s="785"/>
      <c r="F25" s="785"/>
      <c r="G25" s="785"/>
      <c r="H25" s="785"/>
      <c r="I25" s="785"/>
      <c r="J25" s="785"/>
    </row>
    <row r="26" spans="2:10" ht="20.3" customHeight="1" x14ac:dyDescent="0.3"/>
    <row r="27" spans="2:10" ht="15.75" x14ac:dyDescent="0.3">
      <c r="C27" s="52" t="s">
        <v>225</v>
      </c>
      <c r="D27" s="60"/>
      <c r="E27" s="60"/>
      <c r="F27" s="97">
        <f>SUM('Rebate Information (Rooftops)'!N11:N17,'Rebate Information (Chillers-W)'!Q10:Q19,'Rebate Information (Chillers-A)'!Q10:Q19)</f>
        <v>0</v>
      </c>
      <c r="G27" s="33">
        <f>SUM('Rebate Information (Chillers-W)'!Q10:Q19)</f>
        <v>0</v>
      </c>
      <c r="H27" s="33">
        <f>SUM('Rebate Information (Chillers-A)'!Q10:Q19)</f>
        <v>0</v>
      </c>
    </row>
    <row r="28" spans="2:10" ht="15.75" x14ac:dyDescent="0.3">
      <c r="C28" s="55" t="s">
        <v>96</v>
      </c>
      <c r="D28" s="61"/>
      <c r="E28" s="61"/>
      <c r="F28" s="98">
        <f>RooftopTotal+WaterChillerTotal+AirChillerTotal</f>
        <v>0</v>
      </c>
    </row>
    <row r="29" spans="2:10" ht="15.75" x14ac:dyDescent="0.3">
      <c r="C29" s="55" t="s">
        <v>223</v>
      </c>
      <c r="D29" s="61"/>
      <c r="E29" s="61"/>
      <c r="F29" s="138">
        <f>IF(F27-F28&lt;0, F28, F27-F28)</f>
        <v>0</v>
      </c>
    </row>
    <row r="30" spans="2:10" ht="15.75" x14ac:dyDescent="0.3">
      <c r="C30" s="55" t="s">
        <v>226</v>
      </c>
      <c r="D30" s="61"/>
      <c r="E30" s="61"/>
      <c r="F30" s="138">
        <f>SUM('Rooftop Savings'!J26,'Water Cooled Chillers Savings'!J30,'Air Cooled Chillers Savings'!J30)</f>
        <v>0</v>
      </c>
    </row>
    <row r="31" spans="2:10" ht="15.75" x14ac:dyDescent="0.3">
      <c r="C31" s="55" t="s">
        <v>97</v>
      </c>
      <c r="D31" s="61"/>
      <c r="E31" s="61"/>
      <c r="F31" s="228" t="e">
        <f>IF(F29&lt;0,"N/A",(F29/F30))</f>
        <v>#DIV/0!</v>
      </c>
    </row>
    <row r="32" spans="2:10" ht="15.75" x14ac:dyDescent="0.3">
      <c r="C32" s="55" t="s">
        <v>224</v>
      </c>
      <c r="D32" s="61"/>
      <c r="E32" s="61"/>
      <c r="F32" s="138">
        <f>(SUM('Rebate Information (Rooftops)'!M11:M17)+SUM('Rebate Information (Chillers-W)'!Q10:Q19)+SUM('Rebate Information (Chillers-A)'!Q10:Q19))-(SUM('Rebate Information (Rooftops)'!T18)+SUM('Rebate Information (Chillers-W)'!T20:U20)+SUM('Rebate Information (Chillers-A)'!U20:V20))</f>
        <v>0</v>
      </c>
      <c r="H32" s="225"/>
      <c r="J32" s="225"/>
    </row>
    <row r="35" spans="2:10" x14ac:dyDescent="0.3">
      <c r="B35" s="785" t="s">
        <v>98</v>
      </c>
      <c r="C35" s="785"/>
      <c r="D35" s="785"/>
      <c r="E35" s="785"/>
      <c r="F35" s="785"/>
      <c r="G35" s="785"/>
      <c r="H35" s="785"/>
      <c r="I35" s="785"/>
      <c r="J35" s="785"/>
    </row>
    <row r="37" spans="2:10" ht="15.75" x14ac:dyDescent="0.3">
      <c r="B37" s="50"/>
      <c r="C37" s="50"/>
      <c r="D37" s="62" t="s">
        <v>99</v>
      </c>
      <c r="E37" s="63">
        <f>F9*1.55</f>
        <v>0</v>
      </c>
      <c r="F37" s="50" t="s">
        <v>100</v>
      </c>
      <c r="G37" s="50"/>
    </row>
    <row r="38" spans="2:10" ht="15.75" x14ac:dyDescent="0.3">
      <c r="B38" s="50"/>
      <c r="C38" s="50"/>
      <c r="D38" s="50"/>
      <c r="E38" s="50"/>
      <c r="F38" s="50"/>
      <c r="G38" s="50"/>
    </row>
    <row r="39" spans="2:10" ht="15.75" x14ac:dyDescent="0.3">
      <c r="B39" s="50" t="s">
        <v>101</v>
      </c>
      <c r="C39" s="50"/>
      <c r="D39" s="50"/>
      <c r="E39" s="50"/>
      <c r="F39" s="50"/>
      <c r="G39" s="50"/>
    </row>
    <row r="40" spans="2:10" ht="18" customHeight="1" x14ac:dyDescent="0.3">
      <c r="B40" s="50"/>
      <c r="C40" s="64">
        <f>E37*0.05</f>
        <v>0</v>
      </c>
      <c r="D40" s="50" t="s">
        <v>102</v>
      </c>
      <c r="E40" s="50"/>
      <c r="F40" s="50"/>
      <c r="G40" s="50"/>
    </row>
    <row r="41" spans="2:10" ht="18" customHeight="1" x14ac:dyDescent="0.3">
      <c r="B41" s="50"/>
      <c r="C41" s="65">
        <f>C40/522</f>
        <v>0</v>
      </c>
      <c r="D41" s="50" t="s">
        <v>103</v>
      </c>
      <c r="E41" s="50"/>
      <c r="F41" s="50"/>
      <c r="G41" s="50"/>
    </row>
    <row r="42" spans="2:10" ht="18" customHeight="1" x14ac:dyDescent="0.3">
      <c r="B42" s="50"/>
      <c r="C42" s="66">
        <f>E37/269433</f>
        <v>0</v>
      </c>
      <c r="D42" s="50" t="s">
        <v>104</v>
      </c>
      <c r="E42" s="50"/>
      <c r="F42" s="50"/>
      <c r="G42" s="50"/>
    </row>
    <row r="43" spans="2:10" ht="13.6" customHeight="1" x14ac:dyDescent="0.3">
      <c r="B43" s="50"/>
      <c r="C43" s="50"/>
      <c r="D43" s="50"/>
      <c r="E43" s="50"/>
      <c r="F43" s="50"/>
      <c r="G43" s="50"/>
    </row>
    <row r="44" spans="2:10" ht="16.55" customHeight="1" thickBot="1" x14ac:dyDescent="0.35">
      <c r="B44" s="67"/>
      <c r="C44" s="67"/>
      <c r="D44" s="67"/>
      <c r="E44" s="67"/>
      <c r="F44" s="67"/>
      <c r="G44" s="67"/>
      <c r="H44" s="68"/>
      <c r="I44" s="68"/>
      <c r="J44" s="68"/>
    </row>
    <row r="45" spans="2:10" ht="8.1999999999999993" customHeight="1" x14ac:dyDescent="0.3"/>
    <row r="46" spans="2:10" x14ac:dyDescent="0.3">
      <c r="B46" s="58" t="s">
        <v>105</v>
      </c>
      <c r="C46" s="69"/>
      <c r="G46" s="70" t="s">
        <v>77</v>
      </c>
      <c r="H46" s="70" t="s">
        <v>78</v>
      </c>
    </row>
    <row r="47" spans="2:10" x14ac:dyDescent="0.3">
      <c r="C47" s="69">
        <f>'Customer Information'!ContractorName</f>
        <v>0</v>
      </c>
      <c r="G47" s="71" t="s">
        <v>106</v>
      </c>
      <c r="H47" s="71" t="s">
        <v>107</v>
      </c>
    </row>
    <row r="48" spans="2:10" x14ac:dyDescent="0.3">
      <c r="C48" s="69">
        <f>'Customer Information'!ContractorAddress</f>
        <v>0</v>
      </c>
      <c r="F48" s="72" t="s">
        <v>108</v>
      </c>
      <c r="G48" s="73">
        <v>10</v>
      </c>
      <c r="H48" s="74">
        <v>0.1</v>
      </c>
    </row>
    <row r="49" spans="3:10" x14ac:dyDescent="0.3">
      <c r="C49" s="69"/>
    </row>
    <row r="50" spans="3:10" x14ac:dyDescent="0.3">
      <c r="C50" s="69">
        <f>'Customer Information'!ContractorPhone</f>
        <v>0</v>
      </c>
      <c r="H50" s="786" t="s">
        <v>109</v>
      </c>
      <c r="I50" s="786"/>
      <c r="J50" s="75">
        <f ca="1">TODAY()</f>
        <v>44446</v>
      </c>
    </row>
    <row r="51" spans="3:10" x14ac:dyDescent="0.3">
      <c r="C51" s="69">
        <f>'Customer Information'!ContractorEmail</f>
        <v>0</v>
      </c>
    </row>
  </sheetData>
  <sheetProtection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workbookViewId="0">
      <selection activeCell="B70" sqref="B70"/>
    </sheetView>
  </sheetViews>
  <sheetFormatPr defaultRowHeight="12.45" x14ac:dyDescent="0.2"/>
  <cols>
    <col min="2" max="2" width="7.25" customWidth="1"/>
    <col min="9" max="9" width="8.375" customWidth="1"/>
  </cols>
  <sheetData>
    <row r="1" spans="1:14" ht="13.1" thickBot="1" x14ac:dyDescent="0.25">
      <c r="A1" s="792">
        <f>'Rebate Information (Rooftops)'!S4</f>
        <v>43838</v>
      </c>
      <c r="B1" s="793"/>
      <c r="C1" s="793"/>
      <c r="D1" s="793"/>
      <c r="E1" s="793"/>
      <c r="F1" s="793"/>
      <c r="G1" s="793"/>
      <c r="H1" s="793"/>
      <c r="I1" s="793"/>
      <c r="J1" s="793"/>
      <c r="K1" s="793"/>
      <c r="L1" s="793"/>
      <c r="M1" s="793"/>
      <c r="N1" s="793"/>
    </row>
    <row r="2" spans="1:14" ht="17.05" thickBot="1" x14ac:dyDescent="0.25">
      <c r="A2" s="409" t="s">
        <v>349</v>
      </c>
      <c r="B2" s="410"/>
      <c r="C2" s="410"/>
      <c r="D2" s="410"/>
      <c r="E2" s="410"/>
      <c r="F2" s="410"/>
      <c r="G2" s="410"/>
      <c r="H2" s="410"/>
      <c r="I2" s="410"/>
      <c r="J2" s="410"/>
      <c r="K2" s="410"/>
      <c r="L2" s="410"/>
      <c r="M2" s="410"/>
      <c r="N2" s="411"/>
    </row>
    <row r="3" spans="1:14" ht="5.0999999999999996" customHeight="1" x14ac:dyDescent="0.2">
      <c r="A3" s="791"/>
      <c r="B3" s="791"/>
      <c r="C3" s="791"/>
      <c r="D3" s="791"/>
      <c r="E3" s="791"/>
      <c r="F3" s="791"/>
      <c r="G3" s="791"/>
      <c r="H3" s="791"/>
      <c r="I3" s="791"/>
      <c r="J3" s="791"/>
      <c r="K3" s="791"/>
      <c r="L3" s="791"/>
      <c r="M3" s="791"/>
      <c r="N3" s="791"/>
    </row>
    <row r="4" spans="1:14" x14ac:dyDescent="0.2">
      <c r="A4" s="504" t="s">
        <v>329</v>
      </c>
      <c r="B4" s="787" t="s">
        <v>339</v>
      </c>
      <c r="C4" s="788"/>
      <c r="D4" s="788"/>
      <c r="E4" s="788"/>
      <c r="F4" s="788"/>
      <c r="G4" s="788"/>
      <c r="H4" s="788"/>
      <c r="I4" s="788"/>
      <c r="J4" s="788"/>
      <c r="K4" s="788"/>
      <c r="L4" s="788"/>
      <c r="M4" s="788"/>
      <c r="N4" s="788"/>
    </row>
    <row r="5" spans="1:14" ht="12.6" customHeight="1" x14ac:dyDescent="0.2">
      <c r="A5" s="505"/>
      <c r="B5" s="788" t="s">
        <v>288</v>
      </c>
      <c r="C5" s="788"/>
      <c r="D5" s="788"/>
      <c r="E5" s="788"/>
      <c r="F5" s="788"/>
      <c r="G5" s="788"/>
      <c r="H5" s="788"/>
      <c r="I5" s="788"/>
      <c r="J5" s="788"/>
      <c r="K5" s="788"/>
      <c r="L5" s="788"/>
      <c r="M5" s="788"/>
      <c r="N5" s="788"/>
    </row>
    <row r="6" spans="1:14" ht="12.6" customHeight="1" x14ac:dyDescent="0.2">
      <c r="A6" s="505"/>
      <c r="B6" s="788" t="s">
        <v>289</v>
      </c>
      <c r="C6" s="788"/>
      <c r="D6" s="788"/>
      <c r="E6" s="788"/>
      <c r="F6" s="788"/>
      <c r="G6" s="788"/>
      <c r="H6" s="788"/>
      <c r="I6" s="788"/>
      <c r="J6" s="788"/>
      <c r="K6" s="788"/>
      <c r="L6" s="788"/>
      <c r="M6" s="788"/>
      <c r="N6" s="788"/>
    </row>
    <row r="7" spans="1:14" ht="5.0999999999999996" customHeight="1" x14ac:dyDescent="0.2">
      <c r="A7" s="789"/>
      <c r="B7" s="790"/>
      <c r="C7" s="790"/>
      <c r="D7" s="790"/>
      <c r="E7" s="790"/>
      <c r="F7" s="790"/>
      <c r="G7" s="790"/>
      <c r="H7" s="790"/>
      <c r="I7" s="790"/>
      <c r="J7" s="790"/>
      <c r="K7" s="790"/>
      <c r="L7" s="790"/>
      <c r="M7" s="790"/>
      <c r="N7" s="790"/>
    </row>
    <row r="8" spans="1:14" x14ac:dyDescent="0.2">
      <c r="A8" s="507" t="s">
        <v>330</v>
      </c>
      <c r="B8" s="787" t="s">
        <v>340</v>
      </c>
      <c r="C8" s="787"/>
      <c r="D8" s="787"/>
      <c r="E8" s="787"/>
      <c r="F8" s="787"/>
      <c r="G8" s="787"/>
      <c r="H8" s="787"/>
      <c r="I8" s="787"/>
      <c r="J8" s="787"/>
      <c r="K8" s="787"/>
      <c r="L8" s="787"/>
      <c r="M8" s="787"/>
      <c r="N8" s="787"/>
    </row>
    <row r="9" spans="1:14" ht="12.6" customHeight="1" x14ac:dyDescent="0.2">
      <c r="A9" s="505"/>
      <c r="B9" s="788" t="s">
        <v>389</v>
      </c>
      <c r="C9" s="788"/>
      <c r="D9" s="788"/>
      <c r="E9" s="788"/>
      <c r="F9" s="788"/>
      <c r="G9" s="788"/>
      <c r="H9" s="788"/>
      <c r="I9" s="788"/>
      <c r="J9" s="788"/>
      <c r="K9" s="788"/>
      <c r="L9" s="788"/>
      <c r="M9" s="788"/>
      <c r="N9" s="788"/>
    </row>
    <row r="10" spans="1:14" ht="12.6" customHeight="1" x14ac:dyDescent="0.2">
      <c r="A10" s="505"/>
      <c r="B10" s="788" t="s">
        <v>390</v>
      </c>
      <c r="C10" s="788"/>
      <c r="D10" s="788"/>
      <c r="E10" s="788"/>
      <c r="F10" s="788"/>
      <c r="G10" s="788"/>
      <c r="H10" s="788"/>
      <c r="I10" s="788"/>
      <c r="J10" s="788"/>
      <c r="K10" s="788"/>
      <c r="L10" s="788"/>
      <c r="M10" s="788"/>
      <c r="N10" s="788"/>
    </row>
    <row r="11" spans="1:14" ht="12.6" customHeight="1" x14ac:dyDescent="0.2">
      <c r="A11" s="505"/>
      <c r="B11" s="788" t="s">
        <v>290</v>
      </c>
      <c r="C11" s="788"/>
      <c r="D11" s="788"/>
      <c r="E11" s="788"/>
      <c r="F11" s="788"/>
      <c r="G11" s="788"/>
      <c r="H11" s="788"/>
      <c r="I11" s="788"/>
      <c r="J11" s="788"/>
      <c r="K11" s="788"/>
      <c r="L11" s="788"/>
      <c r="M11" s="788"/>
      <c r="N11" s="788"/>
    </row>
    <row r="12" spans="1:14" ht="5.0999999999999996" customHeight="1" x14ac:dyDescent="0.2">
      <c r="A12" s="789"/>
      <c r="B12" s="790"/>
      <c r="C12" s="790"/>
      <c r="D12" s="790"/>
      <c r="E12" s="790"/>
      <c r="F12" s="790"/>
      <c r="G12" s="790"/>
      <c r="H12" s="790"/>
      <c r="I12" s="790"/>
      <c r="J12" s="790"/>
      <c r="K12" s="790"/>
      <c r="L12" s="790"/>
      <c r="M12" s="790"/>
      <c r="N12" s="790"/>
    </row>
    <row r="13" spans="1:14" x14ac:dyDescent="0.2">
      <c r="A13" s="504" t="s">
        <v>331</v>
      </c>
      <c r="B13" s="787" t="s">
        <v>341</v>
      </c>
      <c r="C13" s="788"/>
      <c r="D13" s="788"/>
      <c r="E13" s="788"/>
      <c r="F13" s="788"/>
      <c r="G13" s="788"/>
      <c r="H13" s="788"/>
      <c r="I13" s="788"/>
      <c r="J13" s="788"/>
      <c r="K13" s="788"/>
      <c r="L13" s="788"/>
      <c r="M13" s="788"/>
      <c r="N13" s="788"/>
    </row>
    <row r="14" spans="1:14" ht="12.6" customHeight="1" x14ac:dyDescent="0.2">
      <c r="A14" s="505"/>
      <c r="B14" s="788" t="s">
        <v>291</v>
      </c>
      <c r="C14" s="788"/>
      <c r="D14" s="788"/>
      <c r="E14" s="788"/>
      <c r="F14" s="788"/>
      <c r="G14" s="788"/>
      <c r="H14" s="788"/>
      <c r="I14" s="788"/>
      <c r="J14" s="788"/>
      <c r="K14" s="788"/>
      <c r="L14" s="788"/>
      <c r="M14" s="788"/>
      <c r="N14" s="788"/>
    </row>
    <row r="15" spans="1:14" ht="12.6" customHeight="1" x14ac:dyDescent="0.2">
      <c r="A15" s="505"/>
      <c r="B15" s="788" t="s">
        <v>292</v>
      </c>
      <c r="C15" s="788"/>
      <c r="D15" s="788"/>
      <c r="E15" s="788"/>
      <c r="F15" s="788"/>
      <c r="G15" s="788"/>
      <c r="H15" s="788"/>
      <c r="I15" s="788"/>
      <c r="J15" s="788"/>
      <c r="K15" s="788"/>
      <c r="L15" s="788"/>
      <c r="M15" s="788"/>
      <c r="N15" s="788"/>
    </row>
    <row r="16" spans="1:14" ht="5.0999999999999996" customHeight="1" x14ac:dyDescent="0.2">
      <c r="A16" s="789"/>
      <c r="B16" s="790"/>
      <c r="C16" s="790"/>
      <c r="D16" s="790"/>
      <c r="E16" s="790"/>
      <c r="F16" s="790"/>
      <c r="G16" s="790"/>
      <c r="H16" s="790"/>
      <c r="I16" s="790"/>
      <c r="J16" s="790"/>
      <c r="K16" s="790"/>
      <c r="L16" s="790"/>
      <c r="M16" s="790"/>
      <c r="N16" s="790"/>
    </row>
    <row r="17" spans="1:14" x14ac:dyDescent="0.2">
      <c r="A17" s="504" t="s">
        <v>332</v>
      </c>
      <c r="B17" s="787" t="s">
        <v>342</v>
      </c>
      <c r="C17" s="788"/>
      <c r="D17" s="788"/>
      <c r="E17" s="788"/>
      <c r="F17" s="788"/>
      <c r="G17" s="788"/>
      <c r="H17" s="788"/>
      <c r="I17" s="788"/>
      <c r="J17" s="788"/>
      <c r="K17" s="788"/>
      <c r="L17" s="788"/>
      <c r="M17" s="788"/>
      <c r="N17" s="788"/>
    </row>
    <row r="18" spans="1:14" ht="12.6" customHeight="1" x14ac:dyDescent="0.2">
      <c r="A18" s="505"/>
      <c r="B18" s="788" t="s">
        <v>293</v>
      </c>
      <c r="C18" s="788"/>
      <c r="D18" s="788"/>
      <c r="E18" s="788"/>
      <c r="F18" s="788"/>
      <c r="G18" s="788"/>
      <c r="H18" s="788"/>
      <c r="I18" s="788"/>
      <c r="J18" s="788"/>
      <c r="K18" s="788"/>
      <c r="L18" s="788"/>
      <c r="M18" s="788"/>
      <c r="N18" s="788"/>
    </row>
    <row r="19" spans="1:14" ht="12.6" customHeight="1" x14ac:dyDescent="0.2">
      <c r="A19" s="505"/>
      <c r="B19" s="788" t="s">
        <v>294</v>
      </c>
      <c r="C19" s="788"/>
      <c r="D19" s="788"/>
      <c r="E19" s="788"/>
      <c r="F19" s="788"/>
      <c r="G19" s="788"/>
      <c r="H19" s="788"/>
      <c r="I19" s="788"/>
      <c r="J19" s="788"/>
      <c r="K19" s="788"/>
      <c r="L19" s="788"/>
      <c r="M19" s="788"/>
      <c r="N19" s="788"/>
    </row>
    <row r="20" spans="1:14" ht="12.6" customHeight="1" x14ac:dyDescent="0.2">
      <c r="A20" s="505"/>
      <c r="B20" s="788" t="s">
        <v>295</v>
      </c>
      <c r="C20" s="788"/>
      <c r="D20" s="788"/>
      <c r="E20" s="788"/>
      <c r="F20" s="788"/>
      <c r="G20" s="788"/>
      <c r="H20" s="788"/>
      <c r="I20" s="788"/>
      <c r="J20" s="788"/>
      <c r="K20" s="788"/>
      <c r="L20" s="788"/>
      <c r="M20" s="788"/>
      <c r="N20" s="788"/>
    </row>
    <row r="21" spans="1:14" ht="5.0999999999999996" customHeight="1" x14ac:dyDescent="0.2">
      <c r="A21" s="789"/>
      <c r="B21" s="790"/>
      <c r="C21" s="790"/>
      <c r="D21" s="790"/>
      <c r="E21" s="790"/>
      <c r="F21" s="790"/>
      <c r="G21" s="790"/>
      <c r="H21" s="790"/>
      <c r="I21" s="790"/>
      <c r="J21" s="790"/>
      <c r="K21" s="790"/>
      <c r="L21" s="790"/>
      <c r="M21" s="790"/>
      <c r="N21" s="790"/>
    </row>
    <row r="22" spans="1:14" x14ac:dyDescent="0.2">
      <c r="A22" s="504" t="s">
        <v>333</v>
      </c>
      <c r="B22" s="787" t="s">
        <v>343</v>
      </c>
      <c r="C22" s="788"/>
      <c r="D22" s="788"/>
      <c r="E22" s="788"/>
      <c r="F22" s="788"/>
      <c r="G22" s="788"/>
      <c r="H22" s="788"/>
      <c r="I22" s="788"/>
      <c r="J22" s="788"/>
      <c r="K22" s="788"/>
      <c r="L22" s="788"/>
      <c r="M22" s="788"/>
      <c r="N22" s="788"/>
    </row>
    <row r="23" spans="1:14" ht="12.6" customHeight="1" x14ac:dyDescent="0.2">
      <c r="A23" s="505"/>
      <c r="B23" s="788" t="s">
        <v>296</v>
      </c>
      <c r="C23" s="788"/>
      <c r="D23" s="788"/>
      <c r="E23" s="788"/>
      <c r="F23" s="788"/>
      <c r="G23" s="788"/>
      <c r="H23" s="788"/>
      <c r="I23" s="788"/>
      <c r="J23" s="788"/>
      <c r="K23" s="788"/>
      <c r="L23" s="788"/>
      <c r="M23" s="788"/>
      <c r="N23" s="788"/>
    </row>
    <row r="24" spans="1:14" ht="12.6" customHeight="1" x14ac:dyDescent="0.2">
      <c r="A24" s="505"/>
      <c r="B24" s="788" t="s">
        <v>297</v>
      </c>
      <c r="C24" s="788"/>
      <c r="D24" s="788"/>
      <c r="E24" s="788"/>
      <c r="F24" s="788"/>
      <c r="G24" s="788"/>
      <c r="H24" s="788"/>
      <c r="I24" s="788"/>
      <c r="J24" s="788"/>
      <c r="K24" s="788"/>
      <c r="L24" s="788"/>
      <c r="M24" s="788"/>
      <c r="N24" s="788"/>
    </row>
    <row r="25" spans="1:14" ht="12.6" customHeight="1" x14ac:dyDescent="0.2">
      <c r="A25" s="505"/>
      <c r="B25" s="788" t="s">
        <v>298</v>
      </c>
      <c r="C25" s="788"/>
      <c r="D25" s="788"/>
      <c r="E25" s="788"/>
      <c r="F25" s="788"/>
      <c r="G25" s="788"/>
      <c r="H25" s="788"/>
      <c r="I25" s="788"/>
      <c r="J25" s="788"/>
      <c r="K25" s="788"/>
      <c r="L25" s="788"/>
      <c r="M25" s="788"/>
      <c r="N25" s="788"/>
    </row>
    <row r="26" spans="1:14" ht="12.6" customHeight="1" x14ac:dyDescent="0.2">
      <c r="A26" s="505"/>
      <c r="B26" s="788" t="s">
        <v>299</v>
      </c>
      <c r="C26" s="788"/>
      <c r="D26" s="788"/>
      <c r="E26" s="788"/>
      <c r="F26" s="788"/>
      <c r="G26" s="788"/>
      <c r="H26" s="788"/>
      <c r="I26" s="788"/>
      <c r="J26" s="788"/>
      <c r="K26" s="788"/>
      <c r="L26" s="788"/>
      <c r="M26" s="788"/>
      <c r="N26" s="788"/>
    </row>
    <row r="27" spans="1:14" ht="12.6" customHeight="1" x14ac:dyDescent="0.2">
      <c r="A27" s="505"/>
      <c r="B27" s="788" t="s">
        <v>300</v>
      </c>
      <c r="C27" s="788"/>
      <c r="D27" s="788"/>
      <c r="E27" s="788"/>
      <c r="F27" s="788"/>
      <c r="G27" s="788"/>
      <c r="H27" s="788"/>
      <c r="I27" s="788"/>
      <c r="J27" s="788"/>
      <c r="K27" s="788"/>
      <c r="L27" s="788"/>
      <c r="M27" s="788"/>
      <c r="N27" s="788"/>
    </row>
    <row r="28" spans="1:14" ht="12.6" customHeight="1" x14ac:dyDescent="0.2">
      <c r="A28" s="505"/>
      <c r="B28" s="788" t="s">
        <v>301</v>
      </c>
      <c r="C28" s="788"/>
      <c r="D28" s="788"/>
      <c r="E28" s="788"/>
      <c r="F28" s="788"/>
      <c r="G28" s="788"/>
      <c r="H28" s="788"/>
      <c r="I28" s="788"/>
      <c r="J28" s="788"/>
      <c r="K28" s="788"/>
      <c r="L28" s="788"/>
      <c r="M28" s="788"/>
      <c r="N28" s="788"/>
    </row>
    <row r="29" spans="1:14" ht="5.0999999999999996" customHeight="1" x14ac:dyDescent="0.2">
      <c r="A29" s="789"/>
      <c r="B29" s="790"/>
      <c r="C29" s="790"/>
      <c r="D29" s="790"/>
      <c r="E29" s="790"/>
      <c r="F29" s="790"/>
      <c r="G29" s="790"/>
      <c r="H29" s="790"/>
      <c r="I29" s="790"/>
      <c r="J29" s="790"/>
      <c r="K29" s="790"/>
      <c r="L29" s="790"/>
      <c r="M29" s="790"/>
      <c r="N29" s="790"/>
    </row>
    <row r="30" spans="1:14" x14ac:dyDescent="0.2">
      <c r="A30" s="504" t="s">
        <v>334</v>
      </c>
      <c r="B30" s="787" t="s">
        <v>344</v>
      </c>
      <c r="C30" s="790"/>
      <c r="D30" s="790"/>
      <c r="E30" s="790"/>
      <c r="F30" s="790"/>
      <c r="G30" s="790"/>
      <c r="H30" s="790"/>
      <c r="I30" s="790"/>
      <c r="J30" s="790"/>
      <c r="K30" s="790"/>
      <c r="L30" s="790"/>
      <c r="M30" s="790"/>
      <c r="N30" s="790"/>
    </row>
    <row r="31" spans="1:14" ht="12.6" customHeight="1" x14ac:dyDescent="0.2">
      <c r="A31" s="505"/>
      <c r="B31" s="788" t="s">
        <v>302</v>
      </c>
      <c r="C31" s="788"/>
      <c r="D31" s="788"/>
      <c r="E31" s="788"/>
      <c r="F31" s="788"/>
      <c r="G31" s="788"/>
      <c r="H31" s="788"/>
      <c r="I31" s="788"/>
      <c r="J31" s="788"/>
      <c r="K31" s="788"/>
      <c r="L31" s="788"/>
      <c r="M31" s="788"/>
      <c r="N31" s="788"/>
    </row>
    <row r="32" spans="1:14" ht="12.6" customHeight="1" x14ac:dyDescent="0.2">
      <c r="A32" s="505"/>
      <c r="B32" s="788" t="s">
        <v>303</v>
      </c>
      <c r="C32" s="788"/>
      <c r="D32" s="788"/>
      <c r="E32" s="788"/>
      <c r="F32" s="788"/>
      <c r="G32" s="788"/>
      <c r="H32" s="788"/>
      <c r="I32" s="788"/>
      <c r="J32" s="788"/>
      <c r="K32" s="788"/>
      <c r="L32" s="788"/>
      <c r="M32" s="788"/>
      <c r="N32" s="788"/>
    </row>
    <row r="33" spans="1:14" ht="12.6" customHeight="1" x14ac:dyDescent="0.2">
      <c r="A33" s="505"/>
      <c r="B33" s="788" t="s">
        <v>304</v>
      </c>
      <c r="C33" s="788"/>
      <c r="D33" s="788"/>
      <c r="E33" s="788"/>
      <c r="F33" s="788"/>
      <c r="G33" s="788"/>
      <c r="H33" s="788"/>
      <c r="I33" s="788"/>
      <c r="J33" s="788"/>
      <c r="K33" s="788"/>
      <c r="L33" s="788"/>
      <c r="M33" s="788"/>
      <c r="N33" s="788"/>
    </row>
    <row r="34" spans="1:14" ht="5.0999999999999996" customHeight="1" x14ac:dyDescent="0.2">
      <c r="A34" s="789"/>
      <c r="B34" s="790"/>
      <c r="C34" s="790"/>
      <c r="D34" s="790"/>
      <c r="E34" s="790"/>
      <c r="F34" s="790"/>
      <c r="G34" s="790"/>
      <c r="H34" s="790"/>
      <c r="I34" s="790"/>
      <c r="J34" s="790"/>
      <c r="K34" s="790"/>
      <c r="L34" s="790"/>
      <c r="M34" s="790"/>
      <c r="N34" s="790"/>
    </row>
    <row r="35" spans="1:14" ht="12.6" customHeight="1" x14ac:dyDescent="0.2">
      <c r="A35" s="505"/>
      <c r="B35" s="788" t="s">
        <v>368</v>
      </c>
      <c r="C35" s="788"/>
      <c r="D35" s="788"/>
      <c r="E35" s="788"/>
      <c r="F35" s="788"/>
      <c r="G35" s="788"/>
      <c r="H35" s="788"/>
      <c r="I35" s="788"/>
      <c r="J35" s="788"/>
      <c r="K35" s="788"/>
      <c r="L35" s="788"/>
      <c r="M35" s="788"/>
      <c r="N35" s="788"/>
    </row>
    <row r="36" spans="1:14" ht="12.6" customHeight="1" x14ac:dyDescent="0.2">
      <c r="A36" s="505"/>
      <c r="B36" s="788" t="s">
        <v>305</v>
      </c>
      <c r="C36" s="788"/>
      <c r="D36" s="788"/>
      <c r="E36" s="788"/>
      <c r="F36" s="788"/>
      <c r="G36" s="788"/>
      <c r="H36" s="788"/>
      <c r="I36" s="788"/>
      <c r="J36" s="788"/>
      <c r="K36" s="788"/>
      <c r="L36" s="788"/>
      <c r="M36" s="788"/>
      <c r="N36" s="788"/>
    </row>
    <row r="37" spans="1:14" ht="12.6" customHeight="1" x14ac:dyDescent="0.2">
      <c r="A37" s="505"/>
      <c r="B37" s="788" t="s">
        <v>306</v>
      </c>
      <c r="C37" s="788"/>
      <c r="D37" s="788"/>
      <c r="E37" s="788"/>
      <c r="F37" s="788"/>
      <c r="G37" s="788"/>
      <c r="H37" s="788"/>
      <c r="I37" s="788"/>
      <c r="J37" s="788"/>
      <c r="K37" s="788"/>
      <c r="L37" s="788"/>
      <c r="M37" s="788"/>
      <c r="N37" s="788"/>
    </row>
    <row r="38" spans="1:14" ht="12.6" customHeight="1" x14ac:dyDescent="0.2">
      <c r="A38" s="505"/>
      <c r="B38" s="788" t="s">
        <v>307</v>
      </c>
      <c r="C38" s="788"/>
      <c r="D38" s="788"/>
      <c r="E38" s="788"/>
      <c r="F38" s="788"/>
      <c r="G38" s="788"/>
      <c r="H38" s="788"/>
      <c r="I38" s="788"/>
      <c r="J38" s="788"/>
      <c r="K38" s="788"/>
      <c r="L38" s="788"/>
      <c r="M38" s="788"/>
      <c r="N38" s="788"/>
    </row>
    <row r="39" spans="1:14" ht="12.6" customHeight="1" x14ac:dyDescent="0.2">
      <c r="A39" s="505"/>
      <c r="B39" s="788" t="s">
        <v>308</v>
      </c>
      <c r="C39" s="788"/>
      <c r="D39" s="788"/>
      <c r="E39" s="788"/>
      <c r="F39" s="788"/>
      <c r="G39" s="788"/>
      <c r="H39" s="788"/>
      <c r="I39" s="788"/>
      <c r="J39" s="788"/>
      <c r="K39" s="788"/>
      <c r="L39" s="788"/>
      <c r="M39" s="788"/>
      <c r="N39" s="788"/>
    </row>
    <row r="40" spans="1:14" ht="5.0999999999999996" customHeight="1" x14ac:dyDescent="0.2">
      <c r="A40" s="789"/>
      <c r="B40" s="790"/>
      <c r="C40" s="790"/>
      <c r="D40" s="790"/>
      <c r="E40" s="790"/>
      <c r="F40" s="790"/>
      <c r="G40" s="790"/>
      <c r="H40" s="790"/>
      <c r="I40" s="790"/>
      <c r="J40" s="790"/>
      <c r="K40" s="790"/>
      <c r="L40" s="790"/>
      <c r="M40" s="790"/>
      <c r="N40" s="790"/>
    </row>
    <row r="41" spans="1:14" ht="12.6" customHeight="1" x14ac:dyDescent="0.2">
      <c r="A41" s="505"/>
      <c r="B41" s="788" t="s">
        <v>369</v>
      </c>
      <c r="C41" s="788"/>
      <c r="D41" s="788"/>
      <c r="E41" s="788"/>
      <c r="F41" s="788"/>
      <c r="G41" s="788"/>
      <c r="H41" s="788"/>
      <c r="I41" s="788"/>
      <c r="J41" s="788"/>
      <c r="K41" s="788"/>
      <c r="L41" s="788"/>
      <c r="M41" s="788"/>
      <c r="N41" s="788"/>
    </row>
    <row r="42" spans="1:14" ht="12.6" customHeight="1" x14ac:dyDescent="0.2">
      <c r="A42" s="505"/>
      <c r="B42" s="788" t="s">
        <v>309</v>
      </c>
      <c r="C42" s="788"/>
      <c r="D42" s="788"/>
      <c r="E42" s="788"/>
      <c r="F42" s="788"/>
      <c r="G42" s="788"/>
      <c r="H42" s="788"/>
      <c r="I42" s="788"/>
      <c r="J42" s="788"/>
      <c r="K42" s="788"/>
      <c r="L42" s="788"/>
      <c r="M42" s="788"/>
      <c r="N42" s="788"/>
    </row>
    <row r="43" spans="1:14" ht="12.6" customHeight="1" x14ac:dyDescent="0.2">
      <c r="A43" s="505"/>
      <c r="B43" s="788" t="s">
        <v>310</v>
      </c>
      <c r="C43" s="788"/>
      <c r="D43" s="788"/>
      <c r="E43" s="788"/>
      <c r="F43" s="788"/>
      <c r="G43" s="788"/>
      <c r="H43" s="788"/>
      <c r="I43" s="788"/>
      <c r="J43" s="788"/>
      <c r="K43" s="788"/>
      <c r="L43" s="788"/>
      <c r="M43" s="788"/>
      <c r="N43" s="788"/>
    </row>
    <row r="44" spans="1:14" ht="12.6" customHeight="1" x14ac:dyDescent="0.2">
      <c r="A44" s="505"/>
      <c r="B44" s="788" t="s">
        <v>311</v>
      </c>
      <c r="C44" s="788"/>
      <c r="D44" s="788"/>
      <c r="E44" s="788"/>
      <c r="F44" s="788"/>
      <c r="G44" s="788"/>
      <c r="H44" s="788"/>
      <c r="I44" s="788"/>
      <c r="J44" s="788"/>
      <c r="K44" s="788"/>
      <c r="L44" s="788"/>
      <c r="M44" s="788"/>
      <c r="N44" s="788"/>
    </row>
    <row r="45" spans="1:14" ht="12.6" customHeight="1" x14ac:dyDescent="0.2">
      <c r="A45" s="789"/>
      <c r="B45" s="790"/>
      <c r="C45" s="788" t="s">
        <v>312</v>
      </c>
      <c r="D45" s="788"/>
      <c r="E45" s="788"/>
      <c r="F45" s="788"/>
      <c r="G45" s="788"/>
      <c r="H45" s="788"/>
      <c r="I45" s="788"/>
      <c r="J45" s="788"/>
      <c r="K45" s="788"/>
      <c r="L45" s="788"/>
      <c r="M45" s="788"/>
      <c r="N45" s="788"/>
    </row>
    <row r="46" spans="1:14" ht="12.6" customHeight="1" x14ac:dyDescent="0.2">
      <c r="A46" s="789"/>
      <c r="B46" s="790"/>
      <c r="C46" s="788" t="s">
        <v>313</v>
      </c>
      <c r="D46" s="788"/>
      <c r="E46" s="788"/>
      <c r="F46" s="788"/>
      <c r="G46" s="788"/>
      <c r="H46" s="788"/>
      <c r="I46" s="788"/>
      <c r="J46" s="788"/>
      <c r="K46" s="788"/>
      <c r="L46" s="788"/>
      <c r="M46" s="788"/>
      <c r="N46" s="788"/>
    </row>
    <row r="47" spans="1:14" ht="12.6" customHeight="1" x14ac:dyDescent="0.2">
      <c r="A47" s="789"/>
      <c r="B47" s="790"/>
      <c r="C47" s="788" t="s">
        <v>314</v>
      </c>
      <c r="D47" s="788"/>
      <c r="E47" s="788"/>
      <c r="F47" s="788"/>
      <c r="G47" s="788"/>
      <c r="H47" s="788"/>
      <c r="I47" s="788"/>
      <c r="J47" s="788"/>
      <c r="K47" s="788"/>
      <c r="L47" s="788"/>
      <c r="M47" s="788"/>
      <c r="N47" s="788"/>
    </row>
    <row r="48" spans="1:14" ht="12.6" customHeight="1" x14ac:dyDescent="0.2">
      <c r="A48" s="505"/>
      <c r="B48" s="788" t="s">
        <v>315</v>
      </c>
      <c r="C48" s="788"/>
      <c r="D48" s="788"/>
      <c r="E48" s="788"/>
      <c r="F48" s="788"/>
      <c r="G48" s="788"/>
      <c r="H48" s="788"/>
      <c r="I48" s="788"/>
      <c r="J48" s="788"/>
      <c r="K48" s="788"/>
      <c r="L48" s="788"/>
      <c r="M48" s="788"/>
      <c r="N48" s="788"/>
    </row>
    <row r="49" spans="1:14" ht="12.6" customHeight="1" x14ac:dyDescent="0.2">
      <c r="A49" s="505"/>
      <c r="B49" s="788" t="s">
        <v>316</v>
      </c>
      <c r="C49" s="788"/>
      <c r="D49" s="788"/>
      <c r="E49" s="788"/>
      <c r="F49" s="788"/>
      <c r="G49" s="788"/>
      <c r="H49" s="788"/>
      <c r="I49" s="788"/>
      <c r="J49" s="788"/>
      <c r="K49" s="788"/>
      <c r="L49" s="788"/>
      <c r="M49" s="788"/>
      <c r="N49" s="788"/>
    </row>
    <row r="50" spans="1:14" ht="12.6" customHeight="1" x14ac:dyDescent="0.2">
      <c r="A50" s="505"/>
      <c r="B50" s="788" t="s">
        <v>317</v>
      </c>
      <c r="C50" s="788"/>
      <c r="D50" s="788"/>
      <c r="E50" s="788"/>
      <c r="F50" s="788"/>
      <c r="G50" s="788"/>
      <c r="H50" s="788"/>
      <c r="I50" s="788"/>
      <c r="J50" s="788"/>
      <c r="K50" s="788"/>
      <c r="L50" s="788"/>
      <c r="M50" s="788"/>
      <c r="N50" s="788"/>
    </row>
    <row r="51" spans="1:14" ht="5.0999999999999996" customHeight="1" x14ac:dyDescent="0.2">
      <c r="A51" s="789"/>
      <c r="B51" s="790"/>
      <c r="C51" s="790"/>
      <c r="D51" s="790"/>
      <c r="E51" s="790"/>
      <c r="F51" s="790"/>
      <c r="G51" s="790"/>
      <c r="H51" s="790"/>
      <c r="I51" s="790"/>
      <c r="J51" s="790"/>
      <c r="K51" s="790"/>
      <c r="L51" s="790"/>
      <c r="M51" s="790"/>
      <c r="N51" s="790"/>
    </row>
    <row r="52" spans="1:14" x14ac:dyDescent="0.2">
      <c r="A52" s="504" t="s">
        <v>335</v>
      </c>
      <c r="B52" s="787" t="s">
        <v>345</v>
      </c>
      <c r="C52" s="788"/>
      <c r="D52" s="788"/>
      <c r="E52" s="788"/>
      <c r="F52" s="788"/>
      <c r="G52" s="788"/>
      <c r="H52" s="788"/>
      <c r="I52" s="788"/>
      <c r="J52" s="788"/>
      <c r="K52" s="788"/>
      <c r="L52" s="788"/>
      <c r="M52" s="788"/>
      <c r="N52" s="788"/>
    </row>
    <row r="53" spans="1:14" ht="12.6" customHeight="1" x14ac:dyDescent="0.2">
      <c r="A53" s="505"/>
      <c r="B53" s="788" t="s">
        <v>318</v>
      </c>
      <c r="C53" s="788"/>
      <c r="D53" s="788"/>
      <c r="E53" s="788"/>
      <c r="F53" s="788"/>
      <c r="G53" s="788"/>
      <c r="H53" s="788"/>
      <c r="I53" s="788"/>
      <c r="J53" s="788"/>
      <c r="K53" s="788"/>
      <c r="L53" s="788"/>
      <c r="M53" s="788"/>
      <c r="N53" s="788"/>
    </row>
    <row r="54" spans="1:14" ht="12.6" customHeight="1" x14ac:dyDescent="0.2">
      <c r="A54" s="505"/>
      <c r="B54" s="788" t="s">
        <v>319</v>
      </c>
      <c r="C54" s="788"/>
      <c r="D54" s="788"/>
      <c r="E54" s="788"/>
      <c r="F54" s="788"/>
      <c r="G54" s="788"/>
      <c r="H54" s="788"/>
      <c r="I54" s="788"/>
      <c r="J54" s="788"/>
      <c r="K54" s="788"/>
      <c r="L54" s="788"/>
      <c r="M54" s="788"/>
      <c r="N54" s="788"/>
    </row>
    <row r="55" spans="1:14" ht="5.0999999999999996" customHeight="1" x14ac:dyDescent="0.2">
      <c r="A55" s="789"/>
      <c r="B55" s="790"/>
      <c r="C55" s="790"/>
      <c r="D55" s="790"/>
      <c r="E55" s="790"/>
      <c r="F55" s="790"/>
      <c r="G55" s="790"/>
      <c r="H55" s="790"/>
      <c r="I55" s="790"/>
      <c r="J55" s="790"/>
      <c r="K55" s="790"/>
      <c r="L55" s="790"/>
      <c r="M55" s="790"/>
      <c r="N55" s="790"/>
    </row>
    <row r="56" spans="1:14" x14ac:dyDescent="0.2">
      <c r="A56" s="504" t="s">
        <v>336</v>
      </c>
      <c r="B56" s="787" t="s">
        <v>346</v>
      </c>
      <c r="C56" s="788"/>
      <c r="D56" s="788"/>
      <c r="E56" s="788"/>
      <c r="F56" s="788"/>
      <c r="G56" s="788"/>
      <c r="H56" s="788"/>
      <c r="I56" s="788"/>
      <c r="J56" s="788"/>
      <c r="K56" s="788"/>
      <c r="L56" s="788"/>
      <c r="M56" s="788"/>
      <c r="N56" s="788"/>
    </row>
    <row r="57" spans="1:14" ht="12.6" customHeight="1" x14ac:dyDescent="0.2">
      <c r="A57" s="505"/>
      <c r="B57" s="788" t="s">
        <v>320</v>
      </c>
      <c r="C57" s="788"/>
      <c r="D57" s="788"/>
      <c r="E57" s="788"/>
      <c r="F57" s="788"/>
      <c r="G57" s="788"/>
      <c r="H57" s="788"/>
      <c r="I57" s="788"/>
      <c r="J57" s="788"/>
      <c r="K57" s="788"/>
      <c r="L57" s="788"/>
      <c r="M57" s="788"/>
      <c r="N57" s="788"/>
    </row>
    <row r="58" spans="1:14" ht="12.6" customHeight="1" x14ac:dyDescent="0.2">
      <c r="A58" s="505"/>
      <c r="B58" s="788" t="s">
        <v>321</v>
      </c>
      <c r="C58" s="788"/>
      <c r="D58" s="788"/>
      <c r="E58" s="788"/>
      <c r="F58" s="788"/>
      <c r="G58" s="788"/>
      <c r="H58" s="788"/>
      <c r="I58" s="788"/>
      <c r="J58" s="788"/>
      <c r="K58" s="788"/>
      <c r="L58" s="788"/>
      <c r="M58" s="788"/>
      <c r="N58" s="788"/>
    </row>
    <row r="59" spans="1:14" ht="12.6" customHeight="1" x14ac:dyDescent="0.2">
      <c r="A59" s="505"/>
      <c r="B59" s="788" t="s">
        <v>322</v>
      </c>
      <c r="C59" s="788"/>
      <c r="D59" s="788"/>
      <c r="E59" s="788"/>
      <c r="F59" s="788"/>
      <c r="G59" s="788"/>
      <c r="H59" s="788"/>
      <c r="I59" s="788"/>
      <c r="J59" s="788"/>
      <c r="K59" s="788"/>
      <c r="L59" s="788"/>
      <c r="M59" s="788"/>
      <c r="N59" s="788"/>
    </row>
    <row r="60" spans="1:14" ht="12.6" customHeight="1" x14ac:dyDescent="0.2">
      <c r="A60" s="505"/>
      <c r="B60" s="788" t="s">
        <v>323</v>
      </c>
      <c r="C60" s="788"/>
      <c r="D60" s="788"/>
      <c r="E60" s="788"/>
      <c r="F60" s="788"/>
      <c r="G60" s="788"/>
      <c r="H60" s="788"/>
      <c r="I60" s="788"/>
      <c r="J60" s="788"/>
      <c r="K60" s="788"/>
      <c r="L60" s="788"/>
      <c r="M60" s="788"/>
      <c r="N60" s="788"/>
    </row>
    <row r="61" spans="1:14" ht="12.6" customHeight="1" x14ac:dyDescent="0.2">
      <c r="A61" s="505"/>
      <c r="B61" s="788" t="s">
        <v>324</v>
      </c>
      <c r="C61" s="788"/>
      <c r="D61" s="788"/>
      <c r="E61" s="788"/>
      <c r="F61" s="788"/>
      <c r="G61" s="788"/>
      <c r="H61" s="788"/>
      <c r="I61" s="788"/>
      <c r="J61" s="788"/>
      <c r="K61" s="788"/>
      <c r="L61" s="788"/>
      <c r="M61" s="788"/>
      <c r="N61" s="788"/>
    </row>
    <row r="62" spans="1:14" ht="5.0999999999999996" customHeight="1" x14ac:dyDescent="0.2">
      <c r="A62" s="505"/>
      <c r="B62" s="506"/>
      <c r="C62" s="506"/>
      <c r="D62" s="506"/>
      <c r="E62" s="506"/>
      <c r="F62" s="506"/>
      <c r="G62" s="506"/>
      <c r="H62" s="506"/>
      <c r="I62" s="506"/>
      <c r="J62" s="506"/>
      <c r="K62" s="506"/>
      <c r="L62" s="506"/>
      <c r="M62" s="506"/>
      <c r="N62" s="506"/>
    </row>
    <row r="63" spans="1:14" x14ac:dyDescent="0.2">
      <c r="A63" s="504" t="s">
        <v>337</v>
      </c>
      <c r="B63" s="787" t="s">
        <v>347</v>
      </c>
      <c r="C63" s="788"/>
      <c r="D63" s="788"/>
      <c r="E63" s="788"/>
      <c r="F63" s="788"/>
      <c r="G63" s="788"/>
      <c r="H63" s="788"/>
      <c r="I63" s="788"/>
      <c r="J63" s="788"/>
      <c r="K63" s="788"/>
      <c r="L63" s="788"/>
      <c r="M63" s="788"/>
      <c r="N63" s="788"/>
    </row>
    <row r="64" spans="1:14" ht="12.6" customHeight="1" x14ac:dyDescent="0.2">
      <c r="A64" s="505"/>
      <c r="B64" s="788" t="s">
        <v>325</v>
      </c>
      <c r="C64" s="788"/>
      <c r="D64" s="788"/>
      <c r="E64" s="788"/>
      <c r="F64" s="788"/>
      <c r="G64" s="788"/>
      <c r="H64" s="788"/>
      <c r="I64" s="788"/>
      <c r="J64" s="788"/>
      <c r="K64" s="788"/>
      <c r="L64" s="788"/>
      <c r="M64" s="788"/>
      <c r="N64" s="788"/>
    </row>
    <row r="65" spans="1:15" ht="12.6" customHeight="1" x14ac:dyDescent="0.2">
      <c r="A65" s="505"/>
      <c r="B65" s="788" t="s">
        <v>326</v>
      </c>
      <c r="C65" s="788"/>
      <c r="D65" s="788"/>
      <c r="E65" s="788"/>
      <c r="F65" s="788"/>
      <c r="G65" s="788"/>
      <c r="H65" s="788"/>
      <c r="I65" s="788"/>
      <c r="J65" s="788"/>
      <c r="K65" s="788"/>
      <c r="L65" s="788"/>
      <c r="M65" s="788"/>
      <c r="N65" s="788"/>
    </row>
    <row r="66" spans="1:15" ht="5.0999999999999996" customHeight="1" x14ac:dyDescent="0.2">
      <c r="A66" s="789"/>
      <c r="B66" s="790"/>
      <c r="C66" s="790"/>
      <c r="D66" s="790"/>
      <c r="E66" s="790"/>
      <c r="F66" s="790"/>
      <c r="G66" s="790"/>
      <c r="H66" s="790"/>
      <c r="I66" s="790"/>
      <c r="J66" s="790"/>
      <c r="K66" s="790"/>
      <c r="L66" s="790"/>
      <c r="M66" s="790"/>
      <c r="N66" s="790"/>
    </row>
    <row r="67" spans="1:15" x14ac:dyDescent="0.2">
      <c r="A67" s="504" t="s">
        <v>338</v>
      </c>
      <c r="B67" s="787" t="s">
        <v>348</v>
      </c>
      <c r="C67" s="788"/>
      <c r="D67" s="788"/>
      <c r="E67" s="788"/>
      <c r="F67" s="788"/>
      <c r="G67" s="788"/>
      <c r="H67" s="788"/>
      <c r="I67" s="788"/>
      <c r="J67" s="788"/>
      <c r="K67" s="788"/>
      <c r="L67" s="788"/>
      <c r="M67" s="788"/>
      <c r="N67" s="788"/>
    </row>
    <row r="68" spans="1:15" ht="12.6" customHeight="1" x14ac:dyDescent="0.2">
      <c r="A68" s="505"/>
      <c r="B68" s="788" t="s">
        <v>327</v>
      </c>
      <c r="C68" s="788"/>
      <c r="D68" s="788"/>
      <c r="E68" s="788"/>
      <c r="F68" s="788"/>
      <c r="G68" s="788"/>
      <c r="H68" s="788"/>
      <c r="I68" s="788"/>
      <c r="J68" s="788"/>
      <c r="K68" s="788"/>
      <c r="L68" s="788"/>
      <c r="M68" s="788"/>
      <c r="N68" s="788"/>
    </row>
    <row r="69" spans="1:15" ht="12.6" customHeight="1" x14ac:dyDescent="0.2">
      <c r="A69" s="505"/>
      <c r="B69" s="788" t="s">
        <v>328</v>
      </c>
      <c r="C69" s="788"/>
      <c r="D69" s="788"/>
      <c r="E69" s="788"/>
      <c r="F69" s="788"/>
      <c r="G69" s="788"/>
      <c r="H69" s="788"/>
      <c r="I69" s="788"/>
      <c r="J69" s="788"/>
      <c r="K69" s="788"/>
      <c r="L69" s="788"/>
      <c r="M69" s="788"/>
      <c r="N69" s="788"/>
    </row>
    <row r="70" spans="1:15" ht="13.1" thickBot="1" x14ac:dyDescent="0.25"/>
    <row r="71" spans="1:15" ht="16.399999999999999" x14ac:dyDescent="0.2">
      <c r="A71" s="796" t="s">
        <v>350</v>
      </c>
      <c r="B71" s="797"/>
      <c r="C71" s="797"/>
      <c r="D71" s="797"/>
      <c r="E71" s="797"/>
      <c r="F71" s="797"/>
      <c r="G71" s="797"/>
      <c r="H71" s="797"/>
      <c r="I71" s="797"/>
      <c r="J71" s="797"/>
      <c r="K71" s="797"/>
      <c r="L71" s="797"/>
      <c r="M71" s="797"/>
      <c r="N71" s="798"/>
    </row>
    <row r="72" spans="1:15" ht="5.0999999999999996" customHeight="1" x14ac:dyDescent="0.2">
      <c r="A72" s="509"/>
      <c r="B72" s="508"/>
      <c r="C72" s="508"/>
      <c r="D72" s="508"/>
      <c r="E72" s="508"/>
      <c r="F72" s="508"/>
      <c r="G72" s="508"/>
      <c r="H72" s="508"/>
      <c r="I72" s="508"/>
      <c r="J72" s="508"/>
      <c r="K72" s="508"/>
      <c r="L72" s="508"/>
      <c r="M72" s="508"/>
      <c r="N72" s="510"/>
    </row>
    <row r="73" spans="1:15" ht="16.399999999999999" x14ac:dyDescent="0.2">
      <c r="A73" s="799" t="s">
        <v>351</v>
      </c>
      <c r="B73" s="795"/>
      <c r="C73" s="795"/>
      <c r="D73" s="795"/>
      <c r="E73" s="794" t="s">
        <v>357</v>
      </c>
      <c r="F73" s="795"/>
      <c r="G73" s="795"/>
      <c r="H73" s="795"/>
      <c r="I73" s="794" t="s">
        <v>362</v>
      </c>
      <c r="J73" s="795"/>
      <c r="K73" s="795"/>
      <c r="L73" s="795"/>
      <c r="M73" s="795"/>
      <c r="N73" s="510"/>
    </row>
    <row r="74" spans="1:15" ht="16.399999999999999" x14ac:dyDescent="0.2">
      <c r="A74" s="799" t="s">
        <v>352</v>
      </c>
      <c r="B74" s="795"/>
      <c r="C74" s="795"/>
      <c r="D74" s="795"/>
      <c r="E74" s="794" t="s">
        <v>352</v>
      </c>
      <c r="F74" s="795"/>
      <c r="G74" s="795"/>
      <c r="H74" s="795"/>
      <c r="I74" s="794" t="s">
        <v>363</v>
      </c>
      <c r="J74" s="795"/>
      <c r="K74" s="795"/>
      <c r="L74" s="795"/>
      <c r="M74" s="795"/>
      <c r="N74" s="510"/>
      <c r="O74" s="495"/>
    </row>
    <row r="75" spans="1:15" ht="16.399999999999999" x14ac:dyDescent="0.2">
      <c r="A75" s="799" t="s">
        <v>353</v>
      </c>
      <c r="B75" s="795"/>
      <c r="C75" s="795"/>
      <c r="D75" s="795"/>
      <c r="E75" s="794" t="s">
        <v>358</v>
      </c>
      <c r="F75" s="795"/>
      <c r="G75" s="795"/>
      <c r="H75" s="795"/>
      <c r="I75" s="794" t="s">
        <v>364</v>
      </c>
      <c r="J75" s="795"/>
      <c r="K75" s="795"/>
      <c r="L75" s="795"/>
      <c r="M75" s="795"/>
      <c r="N75" s="510"/>
      <c r="O75" s="495"/>
    </row>
    <row r="76" spans="1:15" ht="16.399999999999999" x14ac:dyDescent="0.2">
      <c r="A76" s="799" t="s">
        <v>354</v>
      </c>
      <c r="B76" s="795"/>
      <c r="C76" s="795"/>
      <c r="D76" s="795"/>
      <c r="E76" s="794" t="s">
        <v>359</v>
      </c>
      <c r="F76" s="795"/>
      <c r="G76" s="795"/>
      <c r="H76" s="795"/>
      <c r="I76" s="794" t="s">
        <v>365</v>
      </c>
      <c r="J76" s="795"/>
      <c r="K76" s="795"/>
      <c r="L76" s="795"/>
      <c r="M76" s="795"/>
      <c r="N76" s="510"/>
      <c r="O76" s="495"/>
    </row>
    <row r="77" spans="1:15" ht="16.399999999999999" x14ac:dyDescent="0.2">
      <c r="A77" s="799" t="s">
        <v>355</v>
      </c>
      <c r="B77" s="795"/>
      <c r="C77" s="795"/>
      <c r="D77" s="795"/>
      <c r="E77" s="794" t="s">
        <v>360</v>
      </c>
      <c r="F77" s="795"/>
      <c r="G77" s="795"/>
      <c r="H77" s="795"/>
      <c r="I77" s="794" t="s">
        <v>366</v>
      </c>
      <c r="J77" s="795"/>
      <c r="K77" s="795"/>
      <c r="L77" s="795"/>
      <c r="M77" s="795"/>
      <c r="N77" s="510"/>
      <c r="O77" s="495"/>
    </row>
    <row r="78" spans="1:15" ht="16.399999999999999" x14ac:dyDescent="0.2">
      <c r="A78" s="799" t="s">
        <v>356</v>
      </c>
      <c r="B78" s="795"/>
      <c r="C78" s="795"/>
      <c r="D78" s="795"/>
      <c r="E78" s="794" t="s">
        <v>361</v>
      </c>
      <c r="F78" s="795"/>
      <c r="G78" s="795"/>
      <c r="H78" s="795"/>
      <c r="I78" s="794" t="s">
        <v>367</v>
      </c>
      <c r="J78" s="795"/>
      <c r="K78" s="795"/>
      <c r="L78" s="795"/>
      <c r="M78" s="795"/>
      <c r="N78" s="510"/>
      <c r="O78" s="495"/>
    </row>
    <row r="79" spans="1:15" ht="17.05" thickBot="1" x14ac:dyDescent="0.25">
      <c r="A79" s="511"/>
      <c r="B79" s="512"/>
      <c r="C79" s="512"/>
      <c r="D79" s="512"/>
      <c r="E79" s="512"/>
      <c r="F79" s="512"/>
      <c r="G79" s="512"/>
      <c r="H79" s="512"/>
      <c r="I79" s="512"/>
      <c r="J79" s="512"/>
      <c r="K79" s="512"/>
      <c r="L79" s="512"/>
      <c r="M79" s="512"/>
      <c r="N79" s="513"/>
    </row>
  </sheetData>
  <mergeCells count="89">
    <mergeCell ref="I77:M77"/>
    <mergeCell ref="I78:M78"/>
    <mergeCell ref="E77:H77"/>
    <mergeCell ref="E78:H78"/>
    <mergeCell ref="I74:M74"/>
    <mergeCell ref="I75:M75"/>
    <mergeCell ref="I76:M76"/>
    <mergeCell ref="E74:H74"/>
    <mergeCell ref="E75:H75"/>
    <mergeCell ref="E76:H76"/>
    <mergeCell ref="A76:D76"/>
    <mergeCell ref="A77:D77"/>
    <mergeCell ref="A78:D78"/>
    <mergeCell ref="A73:D73"/>
    <mergeCell ref="A74:D74"/>
    <mergeCell ref="A75:D75"/>
    <mergeCell ref="A66:N66"/>
    <mergeCell ref="B68:N68"/>
    <mergeCell ref="B69:N69"/>
    <mergeCell ref="E73:H73"/>
    <mergeCell ref="I73:M73"/>
    <mergeCell ref="A71:N71"/>
    <mergeCell ref="A3:N3"/>
    <mergeCell ref="A1:N1"/>
    <mergeCell ref="B64:N64"/>
    <mergeCell ref="B65:N65"/>
    <mergeCell ref="B67:N67"/>
    <mergeCell ref="A7:N7"/>
    <mergeCell ref="A12:N12"/>
    <mergeCell ref="A16:N16"/>
    <mergeCell ref="A21:N21"/>
    <mergeCell ref="A29:N29"/>
    <mergeCell ref="B57:N57"/>
    <mergeCell ref="B58:N58"/>
    <mergeCell ref="B59:N59"/>
    <mergeCell ref="B60:N60"/>
    <mergeCell ref="B61:N61"/>
    <mergeCell ref="B63:N63"/>
    <mergeCell ref="B56:N56"/>
    <mergeCell ref="A51:N51"/>
    <mergeCell ref="A55:N55"/>
    <mergeCell ref="B44:N44"/>
    <mergeCell ref="C45:N45"/>
    <mergeCell ref="C46:N46"/>
    <mergeCell ref="C47:N47"/>
    <mergeCell ref="B48:N48"/>
    <mergeCell ref="A45:B45"/>
    <mergeCell ref="A46:B46"/>
    <mergeCell ref="A47:B47"/>
    <mergeCell ref="B49:N49"/>
    <mergeCell ref="B50:N50"/>
    <mergeCell ref="B52:N52"/>
    <mergeCell ref="B53:N53"/>
    <mergeCell ref="B54:N54"/>
    <mergeCell ref="B43:N43"/>
    <mergeCell ref="A40:N40"/>
    <mergeCell ref="B28:N28"/>
    <mergeCell ref="B31:N31"/>
    <mergeCell ref="B32:N32"/>
    <mergeCell ref="B33:N33"/>
    <mergeCell ref="B35:N35"/>
    <mergeCell ref="B36:N36"/>
    <mergeCell ref="B30:N30"/>
    <mergeCell ref="A34:N34"/>
    <mergeCell ref="B37:N37"/>
    <mergeCell ref="B38:N38"/>
    <mergeCell ref="B39:N39"/>
    <mergeCell ref="B41:N41"/>
    <mergeCell ref="B42:N42"/>
    <mergeCell ref="B24:N24"/>
    <mergeCell ref="B25:N25"/>
    <mergeCell ref="B26:N26"/>
    <mergeCell ref="B27:N27"/>
    <mergeCell ref="B11:N11"/>
    <mergeCell ref="B14:N14"/>
    <mergeCell ref="B15:N15"/>
    <mergeCell ref="B18:N18"/>
    <mergeCell ref="B19:N19"/>
    <mergeCell ref="B20:N20"/>
    <mergeCell ref="B23:N23"/>
    <mergeCell ref="B13:N13"/>
    <mergeCell ref="B17:N17"/>
    <mergeCell ref="B22:N22"/>
    <mergeCell ref="B4:N4"/>
    <mergeCell ref="B5:N5"/>
    <mergeCell ref="B6:N6"/>
    <mergeCell ref="B9:N9"/>
    <mergeCell ref="B10:N10"/>
    <mergeCell ref="B8:N8"/>
  </mergeCells>
  <pageMargins left="0.7" right="0.7" top="0.75" bottom="0.75" header="0.3" footer="0.3"/>
  <pageSetup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60"/>
  <sheetViews>
    <sheetView zoomScaleNormal="100" workbookViewId="0">
      <selection activeCell="N9" sqref="N9:N70"/>
    </sheetView>
  </sheetViews>
  <sheetFormatPr defaultRowHeight="12.45" x14ac:dyDescent="0.2"/>
  <sheetData>
    <row r="2" spans="1:1" ht="8.1999999999999993" customHeight="1" x14ac:dyDescent="0.2"/>
    <row r="3" spans="1:1" x14ac:dyDescent="0.2">
      <c r="A3" s="27"/>
    </row>
    <row r="5" spans="1:1" ht="11.3" customHeight="1" x14ac:dyDescent="0.2"/>
    <row r="6" spans="1:1" hidden="1" x14ac:dyDescent="0.2"/>
    <row r="7" spans="1:1" ht="8.1999999999999993" customHeight="1" x14ac:dyDescent="0.2"/>
    <row r="8" spans="1:1" ht="13.1" x14ac:dyDescent="0.25">
      <c r="A8" s="28"/>
    </row>
    <row r="11" spans="1:1" ht="15.75" customHeight="1" x14ac:dyDescent="0.2"/>
    <row r="12" spans="1:1" ht="12.8" hidden="1" customHeight="1" x14ac:dyDescent="0.2"/>
    <row r="13" spans="1:1" ht="1.5" customHeight="1" x14ac:dyDescent="0.2"/>
    <row r="14" spans="1:1" ht="13.1" x14ac:dyDescent="0.25">
      <c r="A14" s="28"/>
    </row>
    <row r="17" spans="1:11" ht="11.3" customHeight="1" x14ac:dyDescent="0.2"/>
    <row r="18" spans="1:11" ht="13.1" x14ac:dyDescent="0.25">
      <c r="A18" s="28"/>
    </row>
    <row r="22" spans="1:11" ht="8.1999999999999993" customHeight="1" x14ac:dyDescent="0.2"/>
    <row r="23" spans="1:11" ht="13.1" x14ac:dyDescent="0.25">
      <c r="A23" s="28"/>
    </row>
    <row r="27" spans="1:11" ht="18.850000000000001" customHeight="1" x14ac:dyDescent="0.2"/>
    <row r="28" spans="1:11" ht="13.1" x14ac:dyDescent="0.25">
      <c r="A28" s="28"/>
      <c r="B28" s="31"/>
      <c r="C28" s="31"/>
      <c r="D28" s="31"/>
      <c r="E28" s="31"/>
      <c r="F28" s="31"/>
      <c r="G28" s="31"/>
      <c r="H28" s="31"/>
      <c r="I28" s="31"/>
      <c r="J28" s="31"/>
      <c r="K28" s="31"/>
    </row>
    <row r="29" spans="1:11" x14ac:dyDescent="0.2">
      <c r="B29" s="31"/>
      <c r="C29" s="31"/>
      <c r="D29" s="31"/>
      <c r="E29" s="31"/>
      <c r="F29" s="31"/>
      <c r="G29" s="31"/>
      <c r="H29" s="31"/>
      <c r="I29" s="31"/>
      <c r="J29" s="31"/>
      <c r="K29" s="31"/>
    </row>
    <row r="30" spans="1:11" x14ac:dyDescent="0.2">
      <c r="B30" s="31"/>
      <c r="C30" s="31"/>
      <c r="D30" s="31"/>
      <c r="E30" s="31"/>
      <c r="F30" s="31"/>
      <c r="G30" s="31"/>
      <c r="H30" s="31"/>
      <c r="I30" s="31"/>
      <c r="J30" s="31"/>
      <c r="K30" s="31"/>
    </row>
    <row r="31" spans="1:11" x14ac:dyDescent="0.2">
      <c r="B31" s="31"/>
      <c r="C31" s="31"/>
      <c r="D31" s="31"/>
      <c r="E31" s="31"/>
      <c r="F31" s="31"/>
      <c r="G31" s="31"/>
      <c r="H31" s="31"/>
      <c r="I31" s="31"/>
      <c r="J31" s="31"/>
      <c r="K31" s="31"/>
    </row>
    <row r="32" spans="1:11" x14ac:dyDescent="0.2">
      <c r="B32" s="31"/>
      <c r="C32" s="31"/>
      <c r="D32" s="31"/>
      <c r="E32" s="31"/>
      <c r="F32" s="31"/>
      <c r="G32" s="31"/>
      <c r="H32" s="31"/>
      <c r="I32" s="31"/>
      <c r="J32" s="31"/>
      <c r="K32" s="31"/>
    </row>
    <row r="33" spans="1:11" x14ac:dyDescent="0.2">
      <c r="B33" s="31"/>
      <c r="C33" s="31"/>
      <c r="D33" s="31"/>
      <c r="E33" s="31"/>
      <c r="F33" s="31"/>
      <c r="G33" s="31"/>
      <c r="H33" s="31"/>
      <c r="I33" s="31"/>
      <c r="J33" s="31"/>
      <c r="K33" s="31"/>
    </row>
    <row r="34" spans="1:11" x14ac:dyDescent="0.2">
      <c r="B34" s="31"/>
      <c r="C34" s="31"/>
      <c r="D34" s="31"/>
      <c r="E34" s="31"/>
      <c r="F34" s="31"/>
      <c r="G34" s="31"/>
      <c r="H34" s="31"/>
      <c r="I34" s="31"/>
      <c r="J34" s="31"/>
      <c r="K34" s="31"/>
    </row>
    <row r="35" spans="1:11" x14ac:dyDescent="0.2">
      <c r="B35" s="31"/>
      <c r="C35" s="31"/>
      <c r="D35" s="31"/>
      <c r="E35" s="31"/>
      <c r="F35" s="31"/>
      <c r="G35" s="31"/>
      <c r="H35" s="31"/>
      <c r="I35" s="31"/>
      <c r="J35" s="31"/>
      <c r="K35" s="31"/>
    </row>
    <row r="36" spans="1:11" x14ac:dyDescent="0.2">
      <c r="B36" s="31"/>
      <c r="C36" s="31"/>
      <c r="D36" s="31"/>
      <c r="E36" s="31"/>
      <c r="F36" s="31"/>
      <c r="G36" s="31"/>
      <c r="H36" s="31"/>
      <c r="I36" s="31"/>
      <c r="J36" s="31"/>
      <c r="K36" s="31"/>
    </row>
    <row r="37" spans="1:11" x14ac:dyDescent="0.2">
      <c r="B37" s="31"/>
      <c r="C37" s="31"/>
      <c r="D37" s="31"/>
      <c r="E37" s="31"/>
      <c r="F37" s="31"/>
      <c r="G37" s="31"/>
      <c r="H37" s="31"/>
      <c r="I37" s="31"/>
      <c r="J37" s="31"/>
      <c r="K37" s="31"/>
    </row>
    <row r="38" spans="1:11" ht="55.5" customHeight="1" x14ac:dyDescent="0.2">
      <c r="B38" s="31"/>
      <c r="C38" s="31"/>
      <c r="D38" s="31"/>
      <c r="E38" s="31"/>
      <c r="F38" s="31"/>
      <c r="G38" s="31"/>
      <c r="H38" s="31"/>
      <c r="I38" s="31"/>
      <c r="J38" s="31"/>
      <c r="K38" s="31"/>
    </row>
    <row r="39" spans="1:11" ht="11.95" customHeight="1" x14ac:dyDescent="0.25">
      <c r="A39" s="28"/>
    </row>
    <row r="42" spans="1:11" ht="13.1" x14ac:dyDescent="0.25">
      <c r="A42" s="28"/>
    </row>
    <row r="44" spans="1:11" ht="13.1" x14ac:dyDescent="0.25">
      <c r="A44" s="800"/>
      <c r="B44" s="801"/>
      <c r="C44" s="801"/>
      <c r="D44" s="801"/>
      <c r="E44" s="801"/>
      <c r="F44" s="801"/>
      <c r="G44" s="801"/>
      <c r="H44" s="801"/>
      <c r="I44" s="801"/>
      <c r="J44" s="801"/>
      <c r="K44" s="801"/>
    </row>
    <row r="46" spans="1:11" ht="16.55" customHeight="1" x14ac:dyDescent="0.2"/>
    <row r="47" spans="1:11" ht="13.1" x14ac:dyDescent="0.25">
      <c r="A47" s="28"/>
    </row>
    <row r="49" spans="1:11" ht="8.1999999999999993" customHeight="1" x14ac:dyDescent="0.2"/>
    <row r="50" spans="1:11" ht="13.1" x14ac:dyDescent="0.25">
      <c r="A50" s="28"/>
    </row>
    <row r="51" spans="1:11" ht="29.3" customHeight="1" x14ac:dyDescent="0.2"/>
    <row r="60" spans="1:11" x14ac:dyDescent="0.2">
      <c r="K60" s="169"/>
    </row>
  </sheetData>
  <sheetProtection selectLockedCells="1"/>
  <mergeCells count="1">
    <mergeCell ref="A44:K44"/>
  </mergeCells>
  <phoneticPr fontId="5" type="noConversion"/>
  <printOptions horizontalCentered="1"/>
  <pageMargins left="0.1" right="0.1" top="0.1" bottom="0.1" header="0.5" footer="0.5"/>
  <pageSetup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3:H152"/>
  <sheetViews>
    <sheetView zoomScale="80" zoomScaleNormal="80" workbookViewId="0">
      <selection activeCell="D9" sqref="D9"/>
    </sheetView>
  </sheetViews>
  <sheetFormatPr defaultRowHeight="12.45" x14ac:dyDescent="0.2"/>
  <cols>
    <col min="2" max="2" width="15" style="103" customWidth="1"/>
    <col min="3" max="3" width="8.625" customWidth="1"/>
    <col min="4" max="4" width="12.25" bestFit="1" customWidth="1"/>
    <col min="5" max="5" width="8" bestFit="1" customWidth="1"/>
    <col min="7" max="7" width="22.125" bestFit="1" customWidth="1"/>
    <col min="8" max="8" width="21.75" bestFit="1" customWidth="1"/>
    <col min="10" max="10" width="14.25" customWidth="1"/>
    <col min="13" max="13" width="16" bestFit="1" customWidth="1"/>
  </cols>
  <sheetData>
    <row r="3" spans="2:8" s="83" customFormat="1" ht="13.1" x14ac:dyDescent="0.25">
      <c r="B3" s="101" t="s">
        <v>113</v>
      </c>
      <c r="C3" s="82" t="s">
        <v>118</v>
      </c>
      <c r="D3" s="83" t="s">
        <v>119</v>
      </c>
      <c r="E3" s="83" t="s">
        <v>114</v>
      </c>
      <c r="F3" s="83" t="s">
        <v>120</v>
      </c>
      <c r="G3" s="83" t="s">
        <v>285</v>
      </c>
      <c r="H3" s="83" t="s">
        <v>286</v>
      </c>
    </row>
    <row r="4" spans="2:8" x14ac:dyDescent="0.2">
      <c r="B4" s="102" t="s">
        <v>121</v>
      </c>
      <c r="C4" s="79" t="s">
        <v>116</v>
      </c>
      <c r="D4" s="79" t="s">
        <v>110</v>
      </c>
      <c r="E4">
        <v>1</v>
      </c>
      <c r="F4">
        <v>0.5</v>
      </c>
      <c r="G4" t="str">
        <f>'Rebate Information (Chillers-W)'!A26</f>
        <v>C1 - 20A</v>
      </c>
      <c r="H4" t="str">
        <f>'Rebate Information (Chillers-A)'!A26</f>
        <v>C9 - 20A</v>
      </c>
    </row>
    <row r="5" spans="2:8" x14ac:dyDescent="0.2">
      <c r="B5" s="100">
        <v>5.4</v>
      </c>
      <c r="C5" s="78">
        <v>150</v>
      </c>
      <c r="D5" s="80">
        <v>8.1</v>
      </c>
      <c r="E5">
        <v>2</v>
      </c>
      <c r="F5">
        <v>0.55000000000000004</v>
      </c>
      <c r="G5" t="str">
        <f>'Rebate Information (Chillers-W)'!A27</f>
        <v>C2 - 20A</v>
      </c>
      <c r="H5" t="str">
        <f>'Rebate Information (Chillers-A)'!A27</f>
        <v>C10 - 20A</v>
      </c>
    </row>
    <row r="6" spans="2:8" x14ac:dyDescent="0.2">
      <c r="B6" s="100">
        <v>5.5</v>
      </c>
      <c r="C6">
        <v>175</v>
      </c>
      <c r="D6" s="80">
        <v>8.1999999999999993</v>
      </c>
      <c r="E6">
        <v>3</v>
      </c>
      <c r="F6">
        <v>0.60000000000000009</v>
      </c>
      <c r="G6" t="str">
        <f>'Rebate Information (Chillers-W)'!A28</f>
        <v>C3 - 20A</v>
      </c>
      <c r="H6" t="str">
        <f>'Rebate Information (Chillers-A)'!A30</f>
        <v>C9 - 20B</v>
      </c>
    </row>
    <row r="7" spans="2:8" x14ac:dyDescent="0.2">
      <c r="B7" s="100">
        <v>5.6</v>
      </c>
      <c r="C7">
        <v>200</v>
      </c>
      <c r="D7" s="80">
        <v>8.2999999999999989</v>
      </c>
      <c r="E7">
        <v>4</v>
      </c>
      <c r="F7">
        <v>0.65000000000000013</v>
      </c>
      <c r="G7" t="str">
        <f>'Rebate Information (Chillers-W)'!A29</f>
        <v>C4 - 20A</v>
      </c>
      <c r="H7" t="str">
        <f>'Rebate Information (Chillers-A)'!A31</f>
        <v>C10 - 20B</v>
      </c>
    </row>
    <row r="8" spans="2:8" x14ac:dyDescent="0.2">
      <c r="B8" s="100">
        <v>5.7</v>
      </c>
      <c r="C8">
        <v>225</v>
      </c>
      <c r="D8" s="80">
        <v>8.3999999999999986</v>
      </c>
      <c r="E8">
        <v>5</v>
      </c>
      <c r="F8">
        <v>0.70000000000000018</v>
      </c>
      <c r="G8" t="str">
        <f>'Rebate Information (Chillers-W)'!A30</f>
        <v>C5 - 20A</v>
      </c>
    </row>
    <row r="9" spans="2:8" x14ac:dyDescent="0.2">
      <c r="B9" s="100">
        <v>5.8</v>
      </c>
      <c r="C9">
        <v>250</v>
      </c>
      <c r="D9" s="80">
        <v>8.4999999999999982</v>
      </c>
      <c r="E9">
        <v>6</v>
      </c>
      <c r="F9">
        <v>0.75000000000000022</v>
      </c>
      <c r="G9" t="str">
        <f>'Rebate Information (Chillers-W)'!A31</f>
        <v>C6 - 20A</v>
      </c>
    </row>
    <row r="10" spans="2:8" x14ac:dyDescent="0.2">
      <c r="B10" s="100">
        <v>5.9</v>
      </c>
      <c r="C10">
        <v>275</v>
      </c>
      <c r="D10" s="80">
        <v>8.5999999999999979</v>
      </c>
      <c r="E10">
        <v>7</v>
      </c>
      <c r="F10">
        <v>0.80000000000000027</v>
      </c>
      <c r="G10" t="str">
        <f>'Rebate Information (Chillers-W)'!A32</f>
        <v>C7 - 20A</v>
      </c>
    </row>
    <row r="11" spans="2:8" x14ac:dyDescent="0.2">
      <c r="B11" s="100">
        <v>6</v>
      </c>
      <c r="C11">
        <v>300</v>
      </c>
      <c r="D11" s="80">
        <v>8.6999999999999975</v>
      </c>
      <c r="E11">
        <v>8</v>
      </c>
      <c r="F11">
        <v>0.85000000000000031</v>
      </c>
      <c r="G11" t="str">
        <f>'Rebate Information (Chillers-W)'!A33</f>
        <v>C8 - 20A</v>
      </c>
    </row>
    <row r="12" spans="2:8" x14ac:dyDescent="0.2">
      <c r="B12" s="100">
        <v>6.1</v>
      </c>
      <c r="C12" s="79" t="s">
        <v>117</v>
      </c>
      <c r="D12" s="80">
        <v>8.7999999999999972</v>
      </c>
      <c r="E12">
        <v>9</v>
      </c>
      <c r="F12">
        <v>0.90000000000000036</v>
      </c>
      <c r="G12" t="str">
        <f>'Rebate Information (Chillers-W)'!A36</f>
        <v>C1 - 20B</v>
      </c>
    </row>
    <row r="13" spans="2:8" x14ac:dyDescent="0.2">
      <c r="B13" s="100">
        <v>6.2</v>
      </c>
      <c r="C13" s="80"/>
      <c r="D13" s="80">
        <v>8.8999999999999968</v>
      </c>
      <c r="E13">
        <v>10</v>
      </c>
      <c r="F13">
        <v>0.9500000000000004</v>
      </c>
      <c r="G13" t="str">
        <f>'Rebate Information (Chillers-W)'!A37</f>
        <v>C2 - 20B</v>
      </c>
    </row>
    <row r="14" spans="2:8" x14ac:dyDescent="0.2">
      <c r="B14" s="100">
        <v>6.3</v>
      </c>
      <c r="C14" s="80"/>
      <c r="D14" s="80">
        <v>8.9999999999999964</v>
      </c>
      <c r="E14">
        <v>11</v>
      </c>
      <c r="F14">
        <v>1.0000000000000004</v>
      </c>
      <c r="G14" t="str">
        <f>'Rebate Information (Chillers-W)'!A38</f>
        <v>C3 - 20B</v>
      </c>
    </row>
    <row r="15" spans="2:8" x14ac:dyDescent="0.2">
      <c r="B15" s="100">
        <v>6.4</v>
      </c>
      <c r="C15" s="80"/>
      <c r="D15" s="80">
        <v>9.0999999999999961</v>
      </c>
      <c r="E15">
        <v>12</v>
      </c>
      <c r="F15">
        <v>1.0500000000000005</v>
      </c>
      <c r="G15" t="str">
        <f>'Rebate Information (Chillers-W)'!A39</f>
        <v>C4 - 20B</v>
      </c>
    </row>
    <row r="16" spans="2:8" x14ac:dyDescent="0.2">
      <c r="B16" s="100">
        <v>6.5</v>
      </c>
      <c r="C16" s="80"/>
      <c r="D16" s="80">
        <v>9.1999999999999957</v>
      </c>
      <c r="E16">
        <v>13</v>
      </c>
      <c r="F16">
        <v>1.1000000000000005</v>
      </c>
      <c r="G16" t="str">
        <f>'Rebate Information (Chillers-W)'!A40</f>
        <v>C5 - 20B</v>
      </c>
    </row>
    <row r="17" spans="2:7" x14ac:dyDescent="0.2">
      <c r="B17" s="100">
        <v>6.6</v>
      </c>
      <c r="C17" s="80"/>
      <c r="D17" s="80">
        <v>9.2999999999999954</v>
      </c>
      <c r="E17">
        <v>14</v>
      </c>
      <c r="F17">
        <v>1.1500000000000006</v>
      </c>
      <c r="G17" t="str">
        <f>'Rebate Information (Chillers-W)'!A41</f>
        <v>C6 - 20B</v>
      </c>
    </row>
    <row r="18" spans="2:7" x14ac:dyDescent="0.2">
      <c r="B18" s="100">
        <v>6.7</v>
      </c>
      <c r="C18" s="80"/>
      <c r="D18" s="80">
        <v>9.399999999999995</v>
      </c>
      <c r="E18">
        <v>15</v>
      </c>
      <c r="F18">
        <v>1.2000000000000006</v>
      </c>
      <c r="G18" t="str">
        <f>'Rebate Information (Chillers-W)'!A42</f>
        <v>C7 - 20B</v>
      </c>
    </row>
    <row r="19" spans="2:7" x14ac:dyDescent="0.2">
      <c r="B19" s="100">
        <v>6.8</v>
      </c>
      <c r="C19" s="80"/>
      <c r="D19" s="80">
        <v>9.5</v>
      </c>
      <c r="E19">
        <v>16</v>
      </c>
      <c r="F19">
        <v>1.2500000000000007</v>
      </c>
      <c r="G19" t="str">
        <f>'Rebate Information (Chillers-W)'!A43</f>
        <v>C8 - 20B</v>
      </c>
    </row>
    <row r="20" spans="2:7" x14ac:dyDescent="0.2">
      <c r="B20" s="100">
        <v>6.9</v>
      </c>
      <c r="C20" s="80"/>
      <c r="D20" s="80">
        <v>9.6</v>
      </c>
      <c r="E20">
        <v>17</v>
      </c>
      <c r="F20">
        <v>1.3000000000000007</v>
      </c>
    </row>
    <row r="21" spans="2:7" x14ac:dyDescent="0.2">
      <c r="B21" s="100">
        <v>7</v>
      </c>
      <c r="C21" s="80"/>
      <c r="D21" s="80">
        <v>9.6999999999999993</v>
      </c>
      <c r="E21">
        <v>18</v>
      </c>
      <c r="F21">
        <v>1.3500000000000008</v>
      </c>
    </row>
    <row r="22" spans="2:7" x14ac:dyDescent="0.2">
      <c r="B22" s="100">
        <v>7.1</v>
      </c>
      <c r="C22" s="80"/>
      <c r="D22" s="80">
        <v>9.8000000000000007</v>
      </c>
      <c r="E22">
        <v>19</v>
      </c>
      <c r="F22">
        <v>1.4000000000000008</v>
      </c>
    </row>
    <row r="23" spans="2:7" x14ac:dyDescent="0.2">
      <c r="B23" s="100">
        <v>7.2</v>
      </c>
      <c r="C23" s="80"/>
      <c r="D23" s="80">
        <v>9.9</v>
      </c>
      <c r="E23">
        <v>20</v>
      </c>
      <c r="F23">
        <v>1.4500000000000008</v>
      </c>
    </row>
    <row r="24" spans="2:7" x14ac:dyDescent="0.2">
      <c r="B24" s="100">
        <v>7.3</v>
      </c>
      <c r="C24" s="80"/>
      <c r="D24" s="80">
        <v>10</v>
      </c>
      <c r="F24">
        <v>1.5000000000000009</v>
      </c>
    </row>
    <row r="25" spans="2:7" x14ac:dyDescent="0.2">
      <c r="B25" s="100">
        <v>7.4</v>
      </c>
      <c r="C25" s="80"/>
      <c r="D25" s="80">
        <v>10.099999999999993</v>
      </c>
      <c r="F25">
        <v>1.5500000000000009</v>
      </c>
    </row>
    <row r="26" spans="2:7" x14ac:dyDescent="0.2">
      <c r="B26" s="100">
        <v>7.5</v>
      </c>
      <c r="C26" s="80"/>
      <c r="D26" s="80">
        <v>10.199999999999992</v>
      </c>
      <c r="F26">
        <v>1.600000000000001</v>
      </c>
    </row>
    <row r="27" spans="2:7" x14ac:dyDescent="0.2">
      <c r="B27" s="100">
        <v>7.6</v>
      </c>
      <c r="C27" s="80"/>
      <c r="D27" s="80">
        <v>10.299999999999992</v>
      </c>
    </row>
    <row r="28" spans="2:7" x14ac:dyDescent="0.2">
      <c r="B28" s="100">
        <v>7.7</v>
      </c>
      <c r="C28" s="80"/>
      <c r="D28" s="80">
        <v>10.399999999999991</v>
      </c>
    </row>
    <row r="29" spans="2:7" x14ac:dyDescent="0.2">
      <c r="B29" s="100">
        <v>7.8</v>
      </c>
      <c r="C29" s="80"/>
      <c r="D29" s="80">
        <v>10.499999999999991</v>
      </c>
    </row>
    <row r="30" spans="2:7" x14ac:dyDescent="0.2">
      <c r="B30" s="100">
        <v>7.9</v>
      </c>
      <c r="C30" s="80"/>
      <c r="D30" s="80">
        <v>10.599999999999991</v>
      </c>
    </row>
    <row r="31" spans="2:7" x14ac:dyDescent="0.2">
      <c r="B31" s="100">
        <v>8</v>
      </c>
      <c r="C31" s="80"/>
      <c r="D31" s="80">
        <v>10.69999999999999</v>
      </c>
    </row>
    <row r="32" spans="2:7" x14ac:dyDescent="0.2">
      <c r="B32" s="100">
        <v>8.1</v>
      </c>
      <c r="C32" s="80"/>
      <c r="D32" s="80">
        <v>10.79999999999999</v>
      </c>
    </row>
    <row r="33" spans="2:4" x14ac:dyDescent="0.2">
      <c r="B33" s="100">
        <v>8.1999999999999993</v>
      </c>
      <c r="C33" s="80"/>
      <c r="D33" s="80">
        <v>10.89999999999999</v>
      </c>
    </row>
    <row r="34" spans="2:4" x14ac:dyDescent="0.2">
      <c r="B34" s="100">
        <v>8.3000000000000007</v>
      </c>
      <c r="C34" s="80"/>
      <c r="D34" s="80">
        <v>10.999999999999989</v>
      </c>
    </row>
    <row r="35" spans="2:4" x14ac:dyDescent="0.2">
      <c r="B35" s="100">
        <v>8.4</v>
      </c>
      <c r="C35" s="80"/>
      <c r="D35" s="80">
        <v>11.099999999999989</v>
      </c>
    </row>
    <row r="36" spans="2:4" x14ac:dyDescent="0.2">
      <c r="B36" s="100">
        <v>8.5</v>
      </c>
      <c r="C36" s="80"/>
      <c r="D36" s="80">
        <v>11.199999999999989</v>
      </c>
    </row>
    <row r="37" spans="2:4" x14ac:dyDescent="0.2">
      <c r="B37" s="100">
        <v>8.6</v>
      </c>
      <c r="C37" s="80"/>
      <c r="D37" s="80">
        <v>11.299999999999988</v>
      </c>
    </row>
    <row r="38" spans="2:4" x14ac:dyDescent="0.2">
      <c r="B38" s="100">
        <v>8.6999999999999993</v>
      </c>
      <c r="C38" s="80"/>
      <c r="D38" s="80">
        <v>11.399999999999988</v>
      </c>
    </row>
    <row r="39" spans="2:4" x14ac:dyDescent="0.2">
      <c r="B39" s="100">
        <v>8.8000000000000007</v>
      </c>
      <c r="C39" s="80"/>
      <c r="D39" s="80">
        <v>11.499999999999988</v>
      </c>
    </row>
    <row r="40" spans="2:4" x14ac:dyDescent="0.2">
      <c r="B40" s="100">
        <v>8.9</v>
      </c>
      <c r="C40" s="80"/>
      <c r="D40" s="80">
        <v>11.599999999999987</v>
      </c>
    </row>
    <row r="41" spans="2:4" x14ac:dyDescent="0.2">
      <c r="B41" s="100">
        <v>9</v>
      </c>
      <c r="C41" s="80"/>
      <c r="D41" s="80">
        <v>11.699999999999987</v>
      </c>
    </row>
    <row r="42" spans="2:4" x14ac:dyDescent="0.2">
      <c r="B42" s="100">
        <v>9.1</v>
      </c>
      <c r="C42" s="80"/>
      <c r="D42" s="80">
        <v>11.799999999999986</v>
      </c>
    </row>
    <row r="43" spans="2:4" x14ac:dyDescent="0.2">
      <c r="B43" s="100">
        <v>9.1999999999999993</v>
      </c>
      <c r="C43" s="80"/>
      <c r="D43" s="80">
        <v>11.899999999999986</v>
      </c>
    </row>
    <row r="44" spans="2:4" x14ac:dyDescent="0.2">
      <c r="B44" s="100">
        <v>9.3000000000000007</v>
      </c>
      <c r="C44" s="80"/>
      <c r="D44" s="80">
        <v>11.999999999999986</v>
      </c>
    </row>
    <row r="45" spans="2:4" x14ac:dyDescent="0.2">
      <c r="B45" s="100">
        <v>9.4</v>
      </c>
      <c r="C45" s="80"/>
      <c r="D45" s="80">
        <v>12.099999999999985</v>
      </c>
    </row>
    <row r="46" spans="2:4" x14ac:dyDescent="0.2">
      <c r="B46" s="100">
        <v>9.5</v>
      </c>
      <c r="C46" s="80"/>
      <c r="D46" s="80">
        <v>12.199999999999985</v>
      </c>
    </row>
    <row r="47" spans="2:4" x14ac:dyDescent="0.2">
      <c r="B47" s="100">
        <v>9.6</v>
      </c>
      <c r="C47" s="80"/>
      <c r="D47" s="80">
        <v>12.299999999999985</v>
      </c>
    </row>
    <row r="48" spans="2:4" x14ac:dyDescent="0.2">
      <c r="B48" s="100">
        <v>9.6999999999999993</v>
      </c>
      <c r="C48" s="80"/>
      <c r="D48" s="80">
        <v>12.399999999999984</v>
      </c>
    </row>
    <row r="49" spans="2:4" x14ac:dyDescent="0.2">
      <c r="B49" s="100">
        <v>9.8000000000000007</v>
      </c>
      <c r="C49" s="80"/>
      <c r="D49" s="80">
        <v>12.499999999999984</v>
      </c>
    </row>
    <row r="50" spans="2:4" x14ac:dyDescent="0.2">
      <c r="B50" s="100">
        <v>9.9</v>
      </c>
      <c r="C50" s="80"/>
      <c r="D50" s="80">
        <v>12.599999999999984</v>
      </c>
    </row>
    <row r="51" spans="2:4" x14ac:dyDescent="0.2">
      <c r="B51" s="100">
        <v>10</v>
      </c>
      <c r="C51" s="80"/>
      <c r="D51" s="80">
        <v>12.699999999999983</v>
      </c>
    </row>
    <row r="52" spans="2:4" x14ac:dyDescent="0.2">
      <c r="B52" s="100">
        <v>10.1</v>
      </c>
      <c r="C52" s="80"/>
      <c r="D52" s="80">
        <v>12.799999999999983</v>
      </c>
    </row>
    <row r="53" spans="2:4" x14ac:dyDescent="0.2">
      <c r="B53" s="100">
        <v>10.199999999999983</v>
      </c>
      <c r="C53" s="80"/>
      <c r="D53" s="80">
        <v>12.899999999999983</v>
      </c>
    </row>
    <row r="54" spans="2:4" x14ac:dyDescent="0.2">
      <c r="B54" s="100">
        <v>10.299999999999983</v>
      </c>
      <c r="C54" s="80"/>
      <c r="D54" s="80">
        <v>12.999999999999982</v>
      </c>
    </row>
    <row r="55" spans="2:4" x14ac:dyDescent="0.2">
      <c r="B55" s="100">
        <v>10.399999999999983</v>
      </c>
      <c r="C55" s="80"/>
      <c r="D55" s="80">
        <v>13.099999999999982</v>
      </c>
    </row>
    <row r="56" spans="2:4" x14ac:dyDescent="0.2">
      <c r="B56" s="100">
        <v>10.499999999999982</v>
      </c>
      <c r="C56" s="80"/>
      <c r="D56" s="80">
        <v>13.199999999999982</v>
      </c>
    </row>
    <row r="57" spans="2:4" x14ac:dyDescent="0.2">
      <c r="B57" s="100">
        <v>10.599999999999982</v>
      </c>
      <c r="C57" s="80"/>
      <c r="D57" s="80">
        <v>13.299999999999981</v>
      </c>
    </row>
    <row r="58" spans="2:4" x14ac:dyDescent="0.2">
      <c r="B58" s="100">
        <v>10.699999999999982</v>
      </c>
      <c r="C58" s="80"/>
      <c r="D58" s="80">
        <v>13.399999999999981</v>
      </c>
    </row>
    <row r="59" spans="2:4" x14ac:dyDescent="0.2">
      <c r="B59" s="100">
        <v>10.799999999999981</v>
      </c>
      <c r="C59" s="80"/>
      <c r="D59" s="80">
        <v>13.49999999999998</v>
      </c>
    </row>
    <row r="60" spans="2:4" x14ac:dyDescent="0.2">
      <c r="B60" s="100">
        <v>10.899999999999981</v>
      </c>
      <c r="C60" s="80"/>
      <c r="D60" s="80">
        <v>13.59999999999998</v>
      </c>
    </row>
    <row r="61" spans="2:4" x14ac:dyDescent="0.2">
      <c r="B61" s="100">
        <v>10.99999999999998</v>
      </c>
      <c r="C61" s="80"/>
      <c r="D61" s="80">
        <v>13.69999999999998</v>
      </c>
    </row>
    <row r="62" spans="2:4" x14ac:dyDescent="0.2">
      <c r="B62" s="100">
        <v>11.09999999999998</v>
      </c>
      <c r="C62" s="80"/>
      <c r="D62" s="80">
        <v>13.799999999999979</v>
      </c>
    </row>
    <row r="63" spans="2:4" x14ac:dyDescent="0.2">
      <c r="B63" s="100">
        <v>11.19999999999998</v>
      </c>
      <c r="C63" s="80"/>
      <c r="D63" s="80">
        <v>13.899999999999979</v>
      </c>
    </row>
    <row r="64" spans="2:4" x14ac:dyDescent="0.2">
      <c r="B64" s="100">
        <v>11.299999999999979</v>
      </c>
      <c r="C64" s="80"/>
      <c r="D64" s="80">
        <v>13.999999999999979</v>
      </c>
    </row>
    <row r="65" spans="2:4" x14ac:dyDescent="0.2">
      <c r="B65" s="100">
        <v>11.399999999999979</v>
      </c>
      <c r="C65" s="80"/>
      <c r="D65" s="80">
        <v>14.099999999999978</v>
      </c>
    </row>
    <row r="66" spans="2:4" x14ac:dyDescent="0.2">
      <c r="B66" s="100">
        <v>11.499999999999979</v>
      </c>
      <c r="C66" s="80"/>
      <c r="D66" s="80">
        <v>14.199999999999978</v>
      </c>
    </row>
    <row r="67" spans="2:4" x14ac:dyDescent="0.2">
      <c r="B67" s="100">
        <v>11.599999999999978</v>
      </c>
      <c r="C67" s="80"/>
      <c r="D67" s="80">
        <v>14.299999999999978</v>
      </c>
    </row>
    <row r="68" spans="2:4" x14ac:dyDescent="0.2">
      <c r="B68" s="100">
        <v>11.699999999999978</v>
      </c>
      <c r="C68" s="80"/>
      <c r="D68" s="80">
        <v>14.399999999999977</v>
      </c>
    </row>
    <row r="69" spans="2:4" x14ac:dyDescent="0.2">
      <c r="B69" s="100">
        <v>11.799999999999978</v>
      </c>
      <c r="C69" s="80"/>
      <c r="D69" s="80">
        <v>14.499999999999977</v>
      </c>
    </row>
    <row r="70" spans="2:4" x14ac:dyDescent="0.2">
      <c r="B70" s="100">
        <v>11.899999999999977</v>
      </c>
      <c r="C70" s="80"/>
      <c r="D70" s="80">
        <v>14.599999999999977</v>
      </c>
    </row>
    <row r="71" spans="2:4" x14ac:dyDescent="0.2">
      <c r="B71" s="100">
        <v>11.999999999999977</v>
      </c>
      <c r="C71" s="80"/>
      <c r="D71" s="80">
        <v>14.699999999999976</v>
      </c>
    </row>
    <row r="72" spans="2:4" x14ac:dyDescent="0.2">
      <c r="B72" s="100">
        <v>12.099999999999977</v>
      </c>
      <c r="C72" s="80"/>
      <c r="D72" s="80">
        <v>14.799999999999976</v>
      </c>
    </row>
    <row r="73" spans="2:4" x14ac:dyDescent="0.2">
      <c r="B73" s="100">
        <v>12.199999999999976</v>
      </c>
      <c r="C73" s="80"/>
      <c r="D73" s="80">
        <v>14.899999999999975</v>
      </c>
    </row>
    <row r="74" spans="2:4" x14ac:dyDescent="0.2">
      <c r="B74" s="100">
        <v>12.299999999999976</v>
      </c>
      <c r="C74" s="80"/>
      <c r="D74" s="80">
        <v>14.999999999999975</v>
      </c>
    </row>
    <row r="75" spans="2:4" x14ac:dyDescent="0.2">
      <c r="B75" s="100">
        <v>12.399999999999975</v>
      </c>
      <c r="C75" s="80"/>
      <c r="D75" s="80">
        <v>15.099999999999975</v>
      </c>
    </row>
    <row r="76" spans="2:4" x14ac:dyDescent="0.2">
      <c r="B76" s="100">
        <v>12.499999999999975</v>
      </c>
      <c r="C76" s="80"/>
      <c r="D76" s="80">
        <v>15.199999999999974</v>
      </c>
    </row>
    <row r="77" spans="2:4" x14ac:dyDescent="0.2">
      <c r="B77" s="100">
        <v>12.599999999999975</v>
      </c>
      <c r="C77" s="80"/>
      <c r="D77" s="80">
        <v>15.299999999999974</v>
      </c>
    </row>
    <row r="78" spans="2:4" x14ac:dyDescent="0.2">
      <c r="B78" s="100">
        <v>12.699999999999974</v>
      </c>
      <c r="C78" s="80"/>
      <c r="D78" s="80">
        <v>15.399999999999974</v>
      </c>
    </row>
    <row r="79" spans="2:4" x14ac:dyDescent="0.2">
      <c r="B79" s="100">
        <v>12.799999999999974</v>
      </c>
      <c r="C79" s="80"/>
      <c r="D79" s="80">
        <v>15.499999999999973</v>
      </c>
    </row>
    <row r="80" spans="2:4" x14ac:dyDescent="0.2">
      <c r="B80" s="100">
        <v>12.899999999999974</v>
      </c>
      <c r="C80" s="80"/>
      <c r="D80" s="80">
        <v>15.599999999999973</v>
      </c>
    </row>
    <row r="81" spans="2:4" x14ac:dyDescent="0.2">
      <c r="B81" s="100">
        <v>12.999999999999973</v>
      </c>
      <c r="C81" s="80"/>
      <c r="D81" s="80">
        <v>15.699999999999973</v>
      </c>
    </row>
    <row r="82" spans="2:4" x14ac:dyDescent="0.2">
      <c r="B82" s="100">
        <v>13.099999999999973</v>
      </c>
      <c r="C82" s="80"/>
      <c r="D82" s="80">
        <v>15.799999999999972</v>
      </c>
    </row>
    <row r="83" spans="2:4" x14ac:dyDescent="0.2">
      <c r="B83" s="100">
        <v>13.199999999999973</v>
      </c>
      <c r="C83" s="80"/>
      <c r="D83" s="80">
        <v>15.899999999999972</v>
      </c>
    </row>
    <row r="84" spans="2:4" x14ac:dyDescent="0.2">
      <c r="B84" s="100">
        <v>13.299999999999972</v>
      </c>
      <c r="C84" s="80"/>
      <c r="D84" s="80">
        <v>15.999999999999972</v>
      </c>
    </row>
    <row r="85" spans="2:4" x14ac:dyDescent="0.2">
      <c r="B85" s="100">
        <v>13.399999999999972</v>
      </c>
      <c r="C85" s="80"/>
      <c r="D85" s="79" t="s">
        <v>111</v>
      </c>
    </row>
    <row r="86" spans="2:4" x14ac:dyDescent="0.2">
      <c r="B86" s="100">
        <v>13.499999999999972</v>
      </c>
      <c r="C86" s="80"/>
    </row>
    <row r="87" spans="2:4" x14ac:dyDescent="0.2">
      <c r="B87" s="100">
        <v>13.599999999999971</v>
      </c>
      <c r="C87" s="80"/>
    </row>
    <row r="88" spans="2:4" x14ac:dyDescent="0.2">
      <c r="B88" s="100">
        <v>13.699999999999971</v>
      </c>
      <c r="C88" s="80"/>
    </row>
    <row r="89" spans="2:4" x14ac:dyDescent="0.2">
      <c r="B89" s="100">
        <v>13.799999999999971</v>
      </c>
      <c r="C89" s="80"/>
    </row>
    <row r="90" spans="2:4" x14ac:dyDescent="0.2">
      <c r="B90" s="100">
        <v>13.89999999999997</v>
      </c>
      <c r="C90" s="80"/>
    </row>
    <row r="91" spans="2:4" x14ac:dyDescent="0.2">
      <c r="B91" s="100">
        <v>13.99999999999997</v>
      </c>
      <c r="C91" s="80"/>
    </row>
    <row r="92" spans="2:4" x14ac:dyDescent="0.2">
      <c r="B92" s="100">
        <v>14.099999999999969</v>
      </c>
      <c r="C92" s="80"/>
    </row>
    <row r="93" spans="2:4" x14ac:dyDescent="0.2">
      <c r="B93" s="100">
        <v>14.199999999999969</v>
      </c>
      <c r="C93" s="80"/>
    </row>
    <row r="94" spans="2:4" x14ac:dyDescent="0.2">
      <c r="B94" s="100">
        <v>14.299999999999969</v>
      </c>
      <c r="C94" s="80"/>
    </row>
    <row r="95" spans="2:4" x14ac:dyDescent="0.2">
      <c r="B95" s="100">
        <v>14.399999999999968</v>
      </c>
      <c r="C95" s="80"/>
    </row>
    <row r="96" spans="2:4" x14ac:dyDescent="0.2">
      <c r="B96" s="100">
        <v>14.499999999999968</v>
      </c>
      <c r="C96" s="80"/>
    </row>
    <row r="97" spans="2:3" x14ac:dyDescent="0.2">
      <c r="B97" s="100">
        <v>14.599999999999968</v>
      </c>
      <c r="C97" s="80"/>
    </row>
    <row r="98" spans="2:3" x14ac:dyDescent="0.2">
      <c r="B98" s="100">
        <v>14.699999999999967</v>
      </c>
      <c r="C98" s="80"/>
    </row>
    <row r="99" spans="2:3" x14ac:dyDescent="0.2">
      <c r="B99" s="100">
        <v>14.799999999999967</v>
      </c>
      <c r="C99" s="80"/>
    </row>
    <row r="100" spans="2:3" x14ac:dyDescent="0.2">
      <c r="B100" s="100">
        <v>14.899999999999967</v>
      </c>
      <c r="C100" s="80"/>
    </row>
    <row r="101" spans="2:3" x14ac:dyDescent="0.2">
      <c r="B101" s="100">
        <v>14.999999999999966</v>
      </c>
      <c r="C101" s="80"/>
    </row>
    <row r="102" spans="2:3" x14ac:dyDescent="0.2">
      <c r="B102" s="100">
        <v>15.099999999999966</v>
      </c>
      <c r="C102" s="80"/>
    </row>
    <row r="103" spans="2:3" x14ac:dyDescent="0.2">
      <c r="B103" s="100">
        <v>15.199999999999966</v>
      </c>
      <c r="C103" s="80"/>
    </row>
    <row r="104" spans="2:3" x14ac:dyDescent="0.2">
      <c r="B104" s="100">
        <v>15.299999999999965</v>
      </c>
      <c r="C104" s="80"/>
    </row>
    <row r="105" spans="2:3" x14ac:dyDescent="0.2">
      <c r="B105" s="100">
        <v>15.399999999999965</v>
      </c>
      <c r="C105" s="80"/>
    </row>
    <row r="106" spans="2:3" x14ac:dyDescent="0.2">
      <c r="B106" s="100">
        <v>15.499999999999964</v>
      </c>
      <c r="C106" s="80"/>
    </row>
    <row r="107" spans="2:3" x14ac:dyDescent="0.2">
      <c r="B107" s="100">
        <v>15.599999999999964</v>
      </c>
      <c r="C107" s="80"/>
    </row>
    <row r="108" spans="2:3" x14ac:dyDescent="0.2">
      <c r="B108" s="100">
        <v>15.699999999999964</v>
      </c>
      <c r="C108" s="80"/>
    </row>
    <row r="109" spans="2:3" x14ac:dyDescent="0.2">
      <c r="B109" s="100">
        <v>15.799999999999963</v>
      </c>
      <c r="C109" s="80"/>
    </row>
    <row r="110" spans="2:3" x14ac:dyDescent="0.2">
      <c r="B110" s="100">
        <v>15.899999999999963</v>
      </c>
      <c r="C110" s="80"/>
    </row>
    <row r="111" spans="2:3" x14ac:dyDescent="0.2">
      <c r="B111" s="100">
        <v>15.999999999999963</v>
      </c>
      <c r="C111" s="80"/>
    </row>
    <row r="112" spans="2:3" x14ac:dyDescent="0.2">
      <c r="B112" s="100">
        <v>16.099999999999962</v>
      </c>
      <c r="C112" s="80"/>
    </row>
    <row r="113" spans="2:3" x14ac:dyDescent="0.2">
      <c r="B113" s="100">
        <v>16.199999999999964</v>
      </c>
      <c r="C113" s="80"/>
    </row>
    <row r="114" spans="2:3" x14ac:dyDescent="0.2">
      <c r="B114" s="100">
        <v>16.299999999999965</v>
      </c>
      <c r="C114" s="80"/>
    </row>
    <row r="115" spans="2:3" x14ac:dyDescent="0.2">
      <c r="B115" s="100">
        <v>16.399999999999967</v>
      </c>
      <c r="C115" s="80"/>
    </row>
    <row r="116" spans="2:3" x14ac:dyDescent="0.2">
      <c r="B116" s="100">
        <v>16.499999999999968</v>
      </c>
      <c r="C116" s="80"/>
    </row>
    <row r="117" spans="2:3" x14ac:dyDescent="0.2">
      <c r="B117" s="100">
        <v>16.599999999999969</v>
      </c>
      <c r="C117" s="80"/>
    </row>
    <row r="118" spans="2:3" x14ac:dyDescent="0.2">
      <c r="B118" s="100">
        <v>16.699999999999971</v>
      </c>
      <c r="C118" s="80"/>
    </row>
    <row r="119" spans="2:3" x14ac:dyDescent="0.2">
      <c r="B119" s="100">
        <v>16.799999999999972</v>
      </c>
      <c r="C119" s="80"/>
    </row>
    <row r="120" spans="2:3" x14ac:dyDescent="0.2">
      <c r="B120" s="100">
        <v>16.899999999999974</v>
      </c>
      <c r="C120" s="80"/>
    </row>
    <row r="121" spans="2:3" x14ac:dyDescent="0.2">
      <c r="B121" s="100">
        <v>16.999999999999975</v>
      </c>
      <c r="C121" s="80"/>
    </row>
    <row r="122" spans="2:3" x14ac:dyDescent="0.2">
      <c r="B122" s="100">
        <v>17.099999999999977</v>
      </c>
      <c r="C122" s="80"/>
    </row>
    <row r="123" spans="2:3" x14ac:dyDescent="0.2">
      <c r="B123" s="100">
        <v>17.199999999999978</v>
      </c>
      <c r="C123" s="80"/>
    </row>
    <row r="124" spans="2:3" x14ac:dyDescent="0.2">
      <c r="B124" s="100">
        <v>17.299999999999979</v>
      </c>
      <c r="C124" s="80"/>
    </row>
    <row r="125" spans="2:3" x14ac:dyDescent="0.2">
      <c r="B125" s="100">
        <v>17.399999999999981</v>
      </c>
      <c r="C125" s="80"/>
    </row>
    <row r="126" spans="2:3" x14ac:dyDescent="0.2">
      <c r="B126" s="100">
        <v>17.499999999999982</v>
      </c>
      <c r="C126" s="80"/>
    </row>
    <row r="127" spans="2:3" x14ac:dyDescent="0.2">
      <c r="B127" s="100">
        <v>17.599999999999984</v>
      </c>
      <c r="C127" s="80"/>
    </row>
    <row r="128" spans="2:3" x14ac:dyDescent="0.2">
      <c r="B128" s="100">
        <v>17.699999999999985</v>
      </c>
      <c r="C128" s="80"/>
    </row>
    <row r="129" spans="2:3" x14ac:dyDescent="0.2">
      <c r="B129" s="100">
        <v>17.799999999999986</v>
      </c>
      <c r="C129" s="80"/>
    </row>
    <row r="130" spans="2:3" x14ac:dyDescent="0.2">
      <c r="B130" s="100">
        <v>17.899999999999988</v>
      </c>
      <c r="C130" s="80"/>
    </row>
    <row r="131" spans="2:3" x14ac:dyDescent="0.2">
      <c r="B131" s="100">
        <v>17.999999999999989</v>
      </c>
      <c r="C131" s="80"/>
    </row>
    <row r="132" spans="2:3" x14ac:dyDescent="0.2">
      <c r="B132" s="100">
        <v>18.099999999999991</v>
      </c>
      <c r="C132" s="80"/>
    </row>
    <row r="133" spans="2:3" x14ac:dyDescent="0.2">
      <c r="B133" s="100">
        <v>18.199999999999992</v>
      </c>
      <c r="C133" s="80"/>
    </row>
    <row r="134" spans="2:3" x14ac:dyDescent="0.2">
      <c r="B134" s="100">
        <v>18.299999999999994</v>
      </c>
      <c r="C134" s="80"/>
    </row>
    <row r="135" spans="2:3" x14ac:dyDescent="0.2">
      <c r="B135" s="100">
        <v>18.399999999999995</v>
      </c>
      <c r="C135" s="80"/>
    </row>
    <row r="136" spans="2:3" x14ac:dyDescent="0.2">
      <c r="B136" s="100">
        <v>18.499999999999996</v>
      </c>
      <c r="C136" s="80"/>
    </row>
    <row r="137" spans="2:3" x14ac:dyDescent="0.2">
      <c r="B137" s="100">
        <v>18.599999999999998</v>
      </c>
      <c r="C137" s="80"/>
    </row>
    <row r="138" spans="2:3" x14ac:dyDescent="0.2">
      <c r="B138" s="100">
        <v>18.7</v>
      </c>
      <c r="C138" s="80"/>
    </row>
    <row r="139" spans="2:3" x14ac:dyDescent="0.2">
      <c r="B139" s="100">
        <v>18.8</v>
      </c>
      <c r="C139" s="80"/>
    </row>
    <row r="140" spans="2:3" x14ac:dyDescent="0.2">
      <c r="B140" s="100">
        <v>18.900000000000002</v>
      </c>
      <c r="C140" s="80"/>
    </row>
    <row r="141" spans="2:3" x14ac:dyDescent="0.2">
      <c r="B141" s="100">
        <v>19.000000000000004</v>
      </c>
      <c r="C141" s="80"/>
    </row>
    <row r="142" spans="2:3" x14ac:dyDescent="0.2">
      <c r="B142" s="100">
        <v>19.100000000000005</v>
      </c>
      <c r="C142" s="80"/>
    </row>
    <row r="143" spans="2:3" x14ac:dyDescent="0.2">
      <c r="B143" s="100">
        <v>19.200000000000006</v>
      </c>
      <c r="C143" s="80"/>
    </row>
    <row r="144" spans="2:3" x14ac:dyDescent="0.2">
      <c r="B144" s="100">
        <v>19.300000000000008</v>
      </c>
      <c r="C144" s="80"/>
    </row>
    <row r="145" spans="2:3" x14ac:dyDescent="0.2">
      <c r="B145" s="100">
        <v>19.400000000000009</v>
      </c>
      <c r="C145" s="80"/>
    </row>
    <row r="146" spans="2:3" x14ac:dyDescent="0.2">
      <c r="B146" s="100">
        <v>19.500000000000011</v>
      </c>
      <c r="C146" s="80"/>
    </row>
    <row r="147" spans="2:3" x14ac:dyDescent="0.2">
      <c r="B147" s="100">
        <v>19.600000000000012</v>
      </c>
      <c r="C147" s="80"/>
    </row>
    <row r="148" spans="2:3" x14ac:dyDescent="0.2">
      <c r="B148" s="100">
        <v>19.700000000000014</v>
      </c>
      <c r="C148" s="80"/>
    </row>
    <row r="149" spans="2:3" x14ac:dyDescent="0.2">
      <c r="B149" s="100">
        <v>19.800000000000015</v>
      </c>
      <c r="C149" s="80"/>
    </row>
    <row r="150" spans="2:3" x14ac:dyDescent="0.2">
      <c r="B150" s="100">
        <v>19.900000000000016</v>
      </c>
      <c r="C150" s="80"/>
    </row>
    <row r="151" spans="2:3" x14ac:dyDescent="0.2">
      <c r="B151" s="100">
        <v>20.000000000000018</v>
      </c>
      <c r="C151" s="80"/>
    </row>
    <row r="152" spans="2:3" x14ac:dyDescent="0.2">
      <c r="B152" s="102" t="s">
        <v>122</v>
      </c>
      <c r="C152" s="79"/>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zoomScaleNormal="100" workbookViewId="0">
      <selection activeCell="B19" sqref="B19"/>
    </sheetView>
  </sheetViews>
  <sheetFormatPr defaultColWidth="9.125" defaultRowHeight="15.05" x14ac:dyDescent="0.3"/>
  <cols>
    <col min="1" max="1" width="10.75" style="46" bestFit="1" customWidth="1"/>
    <col min="2" max="2" width="9.125" style="33"/>
    <col min="3" max="3" width="111.75" style="33" customWidth="1"/>
    <col min="4" max="16384" width="9.125" style="33"/>
  </cols>
  <sheetData>
    <row r="1" spans="1:3" s="132" customFormat="1" x14ac:dyDescent="0.3">
      <c r="A1" s="131" t="s">
        <v>72</v>
      </c>
      <c r="B1" s="132" t="s">
        <v>73</v>
      </c>
      <c r="C1" s="132" t="s">
        <v>74</v>
      </c>
    </row>
    <row r="2" spans="1:3" s="130" customFormat="1" x14ac:dyDescent="0.3">
      <c r="A2" s="127">
        <v>40106</v>
      </c>
      <c r="B2" s="133" t="s">
        <v>148</v>
      </c>
      <c r="C2" s="134" t="s">
        <v>150</v>
      </c>
    </row>
    <row r="3" spans="1:3" s="130" customFormat="1" x14ac:dyDescent="0.3">
      <c r="A3" s="127">
        <v>40106</v>
      </c>
      <c r="B3" s="133" t="s">
        <v>148</v>
      </c>
      <c r="C3" s="134" t="s">
        <v>149</v>
      </c>
    </row>
    <row r="4" spans="1:3" s="130" customFormat="1" ht="30.15" x14ac:dyDescent="0.3">
      <c r="A4" s="127">
        <v>40106</v>
      </c>
      <c r="B4" s="133" t="s">
        <v>148</v>
      </c>
      <c r="C4" s="134" t="s">
        <v>151</v>
      </c>
    </row>
    <row r="5" spans="1:3" s="130" customFormat="1" x14ac:dyDescent="0.3">
      <c r="A5" s="127">
        <v>40106</v>
      </c>
      <c r="B5" s="133" t="s">
        <v>148</v>
      </c>
      <c r="C5" s="134" t="s">
        <v>152</v>
      </c>
    </row>
    <row r="6" spans="1:3" s="130" customFormat="1" ht="30.15" x14ac:dyDescent="0.3">
      <c r="A6" s="127">
        <v>40224</v>
      </c>
      <c r="B6" s="128" t="s">
        <v>153</v>
      </c>
      <c r="C6" s="129" t="s">
        <v>154</v>
      </c>
    </row>
    <row r="7" spans="1:3" x14ac:dyDescent="0.3">
      <c r="A7" s="46">
        <v>40224</v>
      </c>
      <c r="B7" s="47" t="s">
        <v>153</v>
      </c>
      <c r="C7" s="137" t="s">
        <v>155</v>
      </c>
    </row>
    <row r="8" spans="1:3" x14ac:dyDescent="0.3">
      <c r="A8" s="46">
        <v>40224</v>
      </c>
      <c r="B8" s="47" t="s">
        <v>153</v>
      </c>
      <c r="C8" s="48" t="s">
        <v>156</v>
      </c>
    </row>
    <row r="9" spans="1:3" ht="30.15" x14ac:dyDescent="0.3">
      <c r="A9" s="46">
        <v>40224</v>
      </c>
      <c r="B9" s="47" t="s">
        <v>153</v>
      </c>
      <c r="C9" s="135" t="s">
        <v>172</v>
      </c>
    </row>
    <row r="10" spans="1:3" x14ac:dyDescent="0.3">
      <c r="A10" s="46">
        <v>40241</v>
      </c>
      <c r="B10" s="136" t="s">
        <v>153</v>
      </c>
      <c r="C10" s="135" t="s">
        <v>171</v>
      </c>
    </row>
    <row r="11" spans="1:3" s="130" customFormat="1" x14ac:dyDescent="0.3">
      <c r="A11" s="127">
        <v>40224</v>
      </c>
      <c r="B11" s="128" t="s">
        <v>153</v>
      </c>
      <c r="C11" s="129" t="s">
        <v>157</v>
      </c>
    </row>
    <row r="12" spans="1:3" ht="30.15" x14ac:dyDescent="0.3">
      <c r="B12" s="47" t="s">
        <v>174</v>
      </c>
      <c r="C12" s="48" t="s">
        <v>175</v>
      </c>
    </row>
    <row r="13" spans="1:3" x14ac:dyDescent="0.3">
      <c r="A13" s="46">
        <v>42018</v>
      </c>
      <c r="B13" s="47" t="s">
        <v>245</v>
      </c>
      <c r="C13" s="48" t="s">
        <v>246</v>
      </c>
    </row>
    <row r="14" spans="1:3" x14ac:dyDescent="0.3">
      <c r="A14" s="46">
        <v>42738</v>
      </c>
      <c r="B14" s="514" t="s">
        <v>370</v>
      </c>
      <c r="C14" s="515" t="s">
        <v>371</v>
      </c>
    </row>
    <row r="15" spans="1:3" x14ac:dyDescent="0.3">
      <c r="B15" s="47"/>
      <c r="C15" s="515" t="s">
        <v>372</v>
      </c>
    </row>
    <row r="16" spans="1:3" x14ac:dyDescent="0.3">
      <c r="B16" s="47"/>
      <c r="C16" s="515" t="s">
        <v>373</v>
      </c>
    </row>
    <row r="17" spans="2:3" x14ac:dyDescent="0.3">
      <c r="B17" s="47"/>
      <c r="C17" s="515" t="s">
        <v>374</v>
      </c>
    </row>
    <row r="18" spans="2:3" x14ac:dyDescent="0.3">
      <c r="B18" s="47"/>
      <c r="C18" s="48"/>
    </row>
    <row r="19" spans="2:3" x14ac:dyDescent="0.3">
      <c r="B19" s="47"/>
      <c r="C19" s="48"/>
    </row>
    <row r="20" spans="2:3" x14ac:dyDescent="0.3">
      <c r="B20" s="47"/>
      <c r="C20" s="48"/>
    </row>
    <row r="21" spans="2:3" x14ac:dyDescent="0.3">
      <c r="B21" s="47"/>
      <c r="C21" s="48"/>
    </row>
    <row r="22" spans="2:3" x14ac:dyDescent="0.3">
      <c r="B22" s="47"/>
      <c r="C22" s="48"/>
    </row>
    <row r="23" spans="2:3" x14ac:dyDescent="0.3">
      <c r="B23" s="47"/>
      <c r="C23" s="48"/>
    </row>
    <row r="24" spans="2:3" x14ac:dyDescent="0.3">
      <c r="B24" s="47"/>
      <c r="C24" s="48"/>
    </row>
    <row r="25" spans="2:3" x14ac:dyDescent="0.3">
      <c r="B25" s="47"/>
      <c r="C25" s="48"/>
    </row>
    <row r="26" spans="2:3" x14ac:dyDescent="0.3">
      <c r="B26" s="47"/>
      <c r="C26" s="48"/>
    </row>
    <row r="27" spans="2:3" x14ac:dyDescent="0.3">
      <c r="B27" s="47"/>
      <c r="C27" s="48"/>
    </row>
    <row r="28" spans="2:3" x14ac:dyDescent="0.3">
      <c r="B28" s="47"/>
    </row>
    <row r="29" spans="2:3" x14ac:dyDescent="0.3">
      <c r="B29" s="47"/>
    </row>
    <row r="30" spans="2:3" x14ac:dyDescent="0.3">
      <c r="B30" s="47"/>
    </row>
    <row r="31" spans="2:3" x14ac:dyDescent="0.3">
      <c r="B31" s="4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5:M60"/>
  <sheetViews>
    <sheetView showGridLines="0" topLeftCell="A2" zoomScaleNormal="100" zoomScaleSheetLayoutView="115" workbookViewId="0">
      <selection activeCell="E73" sqref="E73"/>
    </sheetView>
  </sheetViews>
  <sheetFormatPr defaultColWidth="9.125" defaultRowHeight="15.05" x14ac:dyDescent="0.3"/>
  <cols>
    <col min="1" max="1" width="1.875" style="33" customWidth="1"/>
    <col min="2" max="2" width="10.625" style="33" customWidth="1"/>
    <col min="3" max="5" width="9.125" style="33"/>
    <col min="6" max="6" width="12.25" style="33" customWidth="1"/>
    <col min="7" max="9" width="9.125" style="33"/>
    <col min="10" max="10" width="10.75" style="33" customWidth="1"/>
    <col min="11" max="11" width="9.125" style="33"/>
    <col min="12" max="12" width="12.875" style="33" customWidth="1"/>
    <col min="13" max="13" width="9.125" style="33" customWidth="1"/>
    <col min="14" max="16384" width="9.125" style="33"/>
  </cols>
  <sheetData>
    <row r="5" spans="2:12" ht="2.2999999999999998" customHeight="1" x14ac:dyDescent="0.3"/>
    <row r="7" spans="2:12" ht="26.2" customHeight="1" x14ac:dyDescent="0.3"/>
    <row r="9" spans="2:12" x14ac:dyDescent="0.3"/>
    <row r="10" spans="2:12" x14ac:dyDescent="0.3">
      <c r="B10" s="551"/>
      <c r="C10" s="551"/>
      <c r="D10" s="551"/>
      <c r="E10" s="551"/>
      <c r="F10" s="551"/>
      <c r="G10" s="551"/>
      <c r="H10" s="551"/>
      <c r="I10" s="551"/>
      <c r="J10" s="551"/>
      <c r="K10" s="551"/>
      <c r="L10" s="551"/>
    </row>
    <row r="11" spans="2:12" s="35" customFormat="1" ht="10.5" x14ac:dyDescent="0.2">
      <c r="B11" s="35" t="s">
        <v>247</v>
      </c>
      <c r="G11" s="35" t="s">
        <v>248</v>
      </c>
    </row>
    <row r="12" spans="2:12" ht="7.55" customHeight="1" x14ac:dyDescent="0.3"/>
    <row r="13" spans="2:12" x14ac:dyDescent="0.3">
      <c r="B13" s="551"/>
      <c r="C13" s="551"/>
      <c r="D13" s="551"/>
      <c r="E13" s="551"/>
      <c r="F13" s="551"/>
      <c r="G13" s="221"/>
      <c r="H13" s="224"/>
      <c r="I13" s="224"/>
      <c r="J13" s="34"/>
      <c r="K13" s="36"/>
      <c r="L13" s="37"/>
    </row>
    <row r="14" spans="2:12" s="35" customFormat="1" ht="10.5" x14ac:dyDescent="0.2">
      <c r="B14" s="35" t="s">
        <v>1</v>
      </c>
      <c r="G14" s="35" t="s">
        <v>2</v>
      </c>
      <c r="J14" s="35" t="s">
        <v>3</v>
      </c>
      <c r="K14" s="35" t="s">
        <v>4</v>
      </c>
    </row>
    <row r="15" spans="2:12" ht="7.55" customHeight="1" x14ac:dyDescent="0.3"/>
    <row r="16" spans="2:12" x14ac:dyDescent="0.3">
      <c r="B16" s="551"/>
      <c r="C16" s="551"/>
      <c r="D16" s="551"/>
      <c r="E16" s="551"/>
      <c r="F16" s="551"/>
      <c r="G16" s="221"/>
      <c r="H16" s="224"/>
      <c r="I16" s="224"/>
      <c r="J16" s="34"/>
      <c r="K16" s="36"/>
      <c r="L16" s="37"/>
    </row>
    <row r="17" spans="2:13" s="35" customFormat="1" ht="10.5" x14ac:dyDescent="0.2">
      <c r="B17" s="35" t="s">
        <v>5</v>
      </c>
      <c r="G17" s="35" t="s">
        <v>2</v>
      </c>
      <c r="J17" s="35" t="s">
        <v>3</v>
      </c>
      <c r="K17" s="35" t="s">
        <v>4</v>
      </c>
    </row>
    <row r="18" spans="2:13" ht="7.55" customHeight="1" x14ac:dyDescent="0.3"/>
    <row r="19" spans="2:13" x14ac:dyDescent="0.3">
      <c r="B19" s="560"/>
      <c r="C19" s="560"/>
      <c r="D19" s="560"/>
      <c r="E19" s="560"/>
      <c r="F19" s="560"/>
      <c r="G19" s="38"/>
      <c r="H19" s="38"/>
      <c r="I19" s="38"/>
      <c r="J19" s="38"/>
      <c r="K19" s="38"/>
    </row>
    <row r="20" spans="2:13" s="35" customFormat="1" ht="10.5" x14ac:dyDescent="0.2">
      <c r="B20" s="35" t="s">
        <v>6</v>
      </c>
      <c r="G20" s="39"/>
      <c r="H20" s="39"/>
      <c r="I20" s="39"/>
      <c r="J20" s="39"/>
      <c r="K20" s="39"/>
    </row>
    <row r="21" spans="2:13" x14ac:dyDescent="0.3">
      <c r="M21" s="40"/>
    </row>
    <row r="22" spans="2:13" x14ac:dyDescent="0.3">
      <c r="B22" s="117"/>
      <c r="M22" s="41"/>
    </row>
    <row r="23" spans="2:13" ht="16.55" customHeight="1" x14ac:dyDescent="0.3">
      <c r="K23" s="559"/>
      <c r="L23" s="559"/>
    </row>
    <row r="24" spans="2:13" ht="16.55" customHeight="1" x14ac:dyDescent="0.3">
      <c r="B24" s="146"/>
      <c r="C24" s="42"/>
      <c r="D24" s="42"/>
      <c r="E24" s="42"/>
      <c r="F24" s="42"/>
      <c r="G24" s="42"/>
      <c r="H24" s="42"/>
      <c r="I24" s="42"/>
      <c r="J24" s="42"/>
      <c r="K24" s="42"/>
      <c r="L24" s="42"/>
    </row>
    <row r="25" spans="2:13" ht="18" hidden="1" customHeight="1" x14ac:dyDescent="0.3">
      <c r="B25" s="43"/>
      <c r="D25" s="35"/>
      <c r="J25" s="44"/>
      <c r="K25" s="44"/>
      <c r="L25" s="44"/>
    </row>
    <row r="26" spans="2:13" ht="6.75" customHeight="1" x14ac:dyDescent="0.3">
      <c r="B26" s="43"/>
      <c r="D26" s="35"/>
      <c r="J26" s="44"/>
      <c r="K26" s="44"/>
      <c r="L26" s="44"/>
    </row>
    <row r="27" spans="2:13" ht="15.05" customHeight="1" x14ac:dyDescent="0.3">
      <c r="B27" s="35"/>
      <c r="F27" s="45"/>
    </row>
    <row r="28" spans="2:13" ht="16.55" customHeight="1" x14ac:dyDescent="0.3">
      <c r="K28" s="559"/>
      <c r="L28" s="559"/>
    </row>
    <row r="32" spans="2:13" ht="10.5" customHeight="1" x14ac:dyDescent="0.3"/>
    <row r="33" spans="2:12" ht="2.95" hidden="1" customHeight="1" x14ac:dyDescent="0.3"/>
    <row r="34" spans="2:12" s="35" customFormat="1" ht="13.1" x14ac:dyDescent="0.25">
      <c r="B34" s="551"/>
      <c r="C34" s="551"/>
      <c r="D34" s="551"/>
      <c r="E34" s="551"/>
      <c r="F34" s="551"/>
      <c r="G34" s="551"/>
      <c r="H34" s="551"/>
      <c r="I34" s="552"/>
      <c r="J34" s="552"/>
      <c r="K34" s="552"/>
      <c r="L34" s="552"/>
    </row>
    <row r="35" spans="2:12" s="35" customFormat="1" ht="10.5" x14ac:dyDescent="0.2">
      <c r="B35" s="35" t="s">
        <v>249</v>
      </c>
      <c r="I35" s="35" t="s">
        <v>8</v>
      </c>
    </row>
    <row r="36" spans="2:12" ht="7.55" customHeight="1" x14ac:dyDescent="0.3"/>
    <row r="37" spans="2:12" s="35" customFormat="1" ht="13.1" x14ac:dyDescent="0.25">
      <c r="B37" s="551"/>
      <c r="C37" s="551"/>
      <c r="D37" s="551"/>
      <c r="E37" s="551"/>
      <c r="F37" s="551"/>
      <c r="G37" s="551"/>
      <c r="H37" s="551"/>
      <c r="I37" s="555"/>
      <c r="J37" s="555"/>
      <c r="K37" s="555"/>
      <c r="L37" s="555"/>
    </row>
    <row r="38" spans="2:12" s="35" customFormat="1" ht="10.5" x14ac:dyDescent="0.2">
      <c r="B38" s="35" t="s">
        <v>9</v>
      </c>
    </row>
    <row r="43" spans="2:12" ht="0.85" customHeight="1" x14ac:dyDescent="0.3"/>
    <row r="44" spans="2:12" x14ac:dyDescent="0.3">
      <c r="B44" s="551"/>
      <c r="C44" s="551"/>
      <c r="D44" s="551"/>
      <c r="E44" s="551"/>
      <c r="F44" s="551"/>
      <c r="G44" s="551"/>
      <c r="H44" s="551"/>
      <c r="I44" s="558"/>
      <c r="J44" s="555"/>
      <c r="K44" s="555"/>
      <c r="L44" s="555"/>
    </row>
    <row r="45" spans="2:12" s="35" customFormat="1" ht="10.5" x14ac:dyDescent="0.2">
      <c r="B45" s="35" t="s">
        <v>10</v>
      </c>
      <c r="I45" s="35" t="s">
        <v>11</v>
      </c>
    </row>
    <row r="49" spans="2:12" ht="9" customHeight="1" x14ac:dyDescent="0.3"/>
    <row r="50" spans="2:12" x14ac:dyDescent="0.3">
      <c r="B50" s="551"/>
      <c r="C50" s="551"/>
      <c r="D50" s="551"/>
      <c r="E50" s="551"/>
      <c r="F50" s="551"/>
      <c r="G50" s="551"/>
      <c r="H50" s="551"/>
      <c r="I50" s="551"/>
      <c r="J50" s="551"/>
      <c r="K50" s="551"/>
      <c r="L50" s="551"/>
    </row>
    <row r="51" spans="2:12" s="35" customFormat="1" ht="10.5" x14ac:dyDescent="0.2">
      <c r="B51" s="35" t="s">
        <v>0</v>
      </c>
    </row>
    <row r="52" spans="2:12" ht="2.95" customHeight="1" x14ac:dyDescent="0.3"/>
    <row r="53" spans="2:12" x14ac:dyDescent="0.3">
      <c r="B53" s="551"/>
      <c r="C53" s="551"/>
      <c r="D53" s="551"/>
      <c r="E53" s="551"/>
      <c r="F53" s="551"/>
      <c r="G53" s="551"/>
      <c r="H53" s="551"/>
      <c r="I53" s="551"/>
      <c r="J53" s="34"/>
      <c r="K53" s="555"/>
      <c r="L53" s="555"/>
    </row>
    <row r="54" spans="2:12" s="35" customFormat="1" ht="10.5" x14ac:dyDescent="0.2">
      <c r="B54" s="35" t="s">
        <v>12</v>
      </c>
      <c r="G54" s="35" t="s">
        <v>2</v>
      </c>
      <c r="J54" s="35" t="s">
        <v>3</v>
      </c>
      <c r="K54" s="35" t="s">
        <v>4</v>
      </c>
    </row>
    <row r="55" spans="2:12" ht="2.95" customHeight="1" x14ac:dyDescent="0.3"/>
    <row r="56" spans="2:12" s="35" customFormat="1" x14ac:dyDescent="0.3">
      <c r="B56" s="551"/>
      <c r="C56" s="551"/>
      <c r="D56" s="551"/>
      <c r="E56" s="551"/>
      <c r="F56" s="551"/>
      <c r="G56" s="551"/>
      <c r="H56" s="551"/>
      <c r="I56" s="552"/>
      <c r="J56" s="557"/>
      <c r="K56" s="557"/>
      <c r="L56" s="557"/>
    </row>
    <row r="57" spans="2:12" s="35" customFormat="1" ht="10.5" x14ac:dyDescent="0.2">
      <c r="B57" s="35" t="s">
        <v>7</v>
      </c>
      <c r="I57" s="35" t="s">
        <v>8</v>
      </c>
    </row>
    <row r="58" spans="2:12" ht="2.95" customHeight="1" x14ac:dyDescent="0.3"/>
    <row r="59" spans="2:12" x14ac:dyDescent="0.3">
      <c r="B59" s="553"/>
      <c r="C59" s="554"/>
      <c r="D59" s="554"/>
      <c r="E59" s="554"/>
      <c r="F59" s="554"/>
      <c r="G59" s="554"/>
      <c r="H59" s="554"/>
      <c r="I59" s="555"/>
      <c r="J59" s="556"/>
      <c r="K59" s="556"/>
      <c r="L59" s="556"/>
    </row>
    <row r="60" spans="2:12" s="35" customFormat="1" ht="10.5" x14ac:dyDescent="0.2">
      <c r="B60" s="35" t="s">
        <v>9</v>
      </c>
    </row>
  </sheetData>
  <sheetProtection selectLockedCells="1"/>
  <mergeCells count="21">
    <mergeCell ref="B10:F10"/>
    <mergeCell ref="G10:L10"/>
    <mergeCell ref="B13:F13"/>
    <mergeCell ref="B34:H34"/>
    <mergeCell ref="K28:L28"/>
    <mergeCell ref="B16:F16"/>
    <mergeCell ref="B19:F19"/>
    <mergeCell ref="K23:L23"/>
    <mergeCell ref="B50:L50"/>
    <mergeCell ref="I34:L34"/>
    <mergeCell ref="B59:H59"/>
    <mergeCell ref="I59:L59"/>
    <mergeCell ref="B53:F53"/>
    <mergeCell ref="G53:I53"/>
    <mergeCell ref="K53:L53"/>
    <mergeCell ref="I37:L37"/>
    <mergeCell ref="I56:L56"/>
    <mergeCell ref="I44:L44"/>
    <mergeCell ref="B56:H56"/>
    <mergeCell ref="B44:H44"/>
    <mergeCell ref="B37:H37"/>
  </mergeCells>
  <phoneticPr fontId="0" type="noConversion"/>
  <printOptions horizontalCentered="1" verticalCentered="1"/>
  <pageMargins left="0" right="0" top="0" bottom="0" header="0" footer="0"/>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0697" r:id="rId4" name="Check Box 25">
              <controlPr locked="0" defaultSize="0" autoFill="0" autoLine="0" autoPict="0">
                <anchor moveWithCells="1">
                  <from>
                    <xdr:col>1</xdr:col>
                    <xdr:colOff>16625</xdr:colOff>
                    <xdr:row>45</xdr:row>
                    <xdr:rowOff>8313</xdr:rowOff>
                  </from>
                  <to>
                    <xdr:col>1</xdr:col>
                    <xdr:colOff>324196</xdr:colOff>
                    <xdr:row>46</xdr:row>
                    <xdr:rowOff>83127</xdr:rowOff>
                  </to>
                </anchor>
              </controlPr>
            </control>
          </mc:Choice>
        </mc:AlternateContent>
        <mc:AlternateContent xmlns:mc="http://schemas.openxmlformats.org/markup-compatibility/2006">
          <mc:Choice Requires="x14">
            <control shapeId="541640" r:id="rId5" name="Option Button 968">
              <controlPr defaultSize="0" autoFill="0" autoLine="0" autoPict="0">
                <anchor moveWithCells="1">
                  <from>
                    <xdr:col>2</xdr:col>
                    <xdr:colOff>182880</xdr:colOff>
                    <xdr:row>21</xdr:row>
                    <xdr:rowOff>8313</xdr:rowOff>
                  </from>
                  <to>
                    <xdr:col>4</xdr:col>
                    <xdr:colOff>16625</xdr:colOff>
                    <xdr:row>22</xdr:row>
                    <xdr:rowOff>24938</xdr:rowOff>
                  </to>
                </anchor>
              </controlPr>
            </control>
          </mc:Choice>
        </mc:AlternateContent>
        <mc:AlternateContent xmlns:mc="http://schemas.openxmlformats.org/markup-compatibility/2006">
          <mc:Choice Requires="x14">
            <control shapeId="541641" r:id="rId6" name="Option Button 969">
              <controlPr defaultSize="0" autoFill="0" autoLine="0" autoPict="0">
                <anchor moveWithCells="1">
                  <from>
                    <xdr:col>3</xdr:col>
                    <xdr:colOff>340822</xdr:colOff>
                    <xdr:row>21</xdr:row>
                    <xdr:rowOff>8313</xdr:rowOff>
                  </from>
                  <to>
                    <xdr:col>5</xdr:col>
                    <xdr:colOff>182880</xdr:colOff>
                    <xdr:row>22</xdr:row>
                    <xdr:rowOff>24938</xdr:rowOff>
                  </to>
                </anchor>
              </controlPr>
            </control>
          </mc:Choice>
        </mc:AlternateContent>
        <mc:AlternateContent xmlns:mc="http://schemas.openxmlformats.org/markup-compatibility/2006">
          <mc:Choice Requires="x14">
            <control shapeId="541642" r:id="rId7" name="Option Button 970">
              <controlPr defaultSize="0" autoFill="0" autoLine="0" autoPict="0">
                <anchor moveWithCells="1">
                  <from>
                    <xdr:col>4</xdr:col>
                    <xdr:colOff>540327</xdr:colOff>
                    <xdr:row>21</xdr:row>
                    <xdr:rowOff>8313</xdr:rowOff>
                  </from>
                  <to>
                    <xdr:col>6</xdr:col>
                    <xdr:colOff>174567</xdr:colOff>
                    <xdr:row>22</xdr:row>
                    <xdr:rowOff>24938</xdr:rowOff>
                  </to>
                </anchor>
              </controlPr>
            </control>
          </mc:Choice>
        </mc:AlternateContent>
        <mc:AlternateContent xmlns:mc="http://schemas.openxmlformats.org/markup-compatibility/2006">
          <mc:Choice Requires="x14">
            <control shapeId="541643" r:id="rId8" name="Option Button 971">
              <controlPr defaultSize="0" autoFill="0" autoLine="0" autoPict="0">
                <anchor moveWithCells="1">
                  <from>
                    <xdr:col>6</xdr:col>
                    <xdr:colOff>124691</xdr:colOff>
                    <xdr:row>21</xdr:row>
                    <xdr:rowOff>8313</xdr:rowOff>
                  </from>
                  <to>
                    <xdr:col>7</xdr:col>
                    <xdr:colOff>573578</xdr:colOff>
                    <xdr:row>22</xdr:row>
                    <xdr:rowOff>24938</xdr:rowOff>
                  </to>
                </anchor>
              </controlPr>
            </control>
          </mc:Choice>
        </mc:AlternateContent>
        <mc:AlternateContent xmlns:mc="http://schemas.openxmlformats.org/markup-compatibility/2006">
          <mc:Choice Requires="x14">
            <control shapeId="541644" r:id="rId9" name="Option Button 972">
              <controlPr defaultSize="0" autoFill="0" autoLine="0" autoPict="0">
                <anchor moveWithCells="1">
                  <from>
                    <xdr:col>7</xdr:col>
                    <xdr:colOff>174567</xdr:colOff>
                    <xdr:row>21</xdr:row>
                    <xdr:rowOff>8313</xdr:rowOff>
                  </from>
                  <to>
                    <xdr:col>9</xdr:col>
                    <xdr:colOff>8313</xdr:colOff>
                    <xdr:row>22</xdr:row>
                    <xdr:rowOff>24938</xdr:rowOff>
                  </to>
                </anchor>
              </controlPr>
            </control>
          </mc:Choice>
        </mc:AlternateContent>
        <mc:AlternateContent xmlns:mc="http://schemas.openxmlformats.org/markup-compatibility/2006">
          <mc:Choice Requires="x14">
            <control shapeId="541645" r:id="rId10" name="Option Button 973">
              <controlPr defaultSize="0" autoFill="0" autoLine="0" autoPict="0">
                <anchor moveWithCells="1">
                  <from>
                    <xdr:col>8</xdr:col>
                    <xdr:colOff>465513</xdr:colOff>
                    <xdr:row>21</xdr:row>
                    <xdr:rowOff>8313</xdr:rowOff>
                  </from>
                  <to>
                    <xdr:col>10</xdr:col>
                    <xdr:colOff>199505</xdr:colOff>
                    <xdr:row>22</xdr:row>
                    <xdr:rowOff>24938</xdr:rowOff>
                  </to>
                </anchor>
              </controlPr>
            </control>
          </mc:Choice>
        </mc:AlternateContent>
        <mc:AlternateContent xmlns:mc="http://schemas.openxmlformats.org/markup-compatibility/2006">
          <mc:Choice Requires="x14">
            <control shapeId="541646" r:id="rId11" name="Option Button 974">
              <controlPr defaultSize="0" autoFill="0" autoLine="0" autoPict="0">
                <anchor moveWithCells="1">
                  <from>
                    <xdr:col>2</xdr:col>
                    <xdr:colOff>182880</xdr:colOff>
                    <xdr:row>22</xdr:row>
                    <xdr:rowOff>16625</xdr:rowOff>
                  </from>
                  <to>
                    <xdr:col>4</xdr:col>
                    <xdr:colOff>16625</xdr:colOff>
                    <xdr:row>23</xdr:row>
                    <xdr:rowOff>16625</xdr:rowOff>
                  </to>
                </anchor>
              </controlPr>
            </control>
          </mc:Choice>
        </mc:AlternateContent>
        <mc:AlternateContent xmlns:mc="http://schemas.openxmlformats.org/markup-compatibility/2006">
          <mc:Choice Requires="x14">
            <control shapeId="541647" r:id="rId12" name="Option Button 975">
              <controlPr defaultSize="0" autoFill="0" autoLine="0" autoPict="0">
                <anchor moveWithCells="1">
                  <from>
                    <xdr:col>3</xdr:col>
                    <xdr:colOff>340822</xdr:colOff>
                    <xdr:row>22</xdr:row>
                    <xdr:rowOff>16625</xdr:rowOff>
                  </from>
                  <to>
                    <xdr:col>5</xdr:col>
                    <xdr:colOff>182880</xdr:colOff>
                    <xdr:row>23</xdr:row>
                    <xdr:rowOff>16625</xdr:rowOff>
                  </to>
                </anchor>
              </controlPr>
            </control>
          </mc:Choice>
        </mc:AlternateContent>
        <mc:AlternateContent xmlns:mc="http://schemas.openxmlformats.org/markup-compatibility/2006">
          <mc:Choice Requires="x14">
            <control shapeId="541648" r:id="rId13" name="Option Button 976">
              <controlPr defaultSize="0" autoFill="0" autoLine="0" autoPict="0">
                <anchor moveWithCells="1">
                  <from>
                    <xdr:col>4</xdr:col>
                    <xdr:colOff>540327</xdr:colOff>
                    <xdr:row>22</xdr:row>
                    <xdr:rowOff>16625</xdr:rowOff>
                  </from>
                  <to>
                    <xdr:col>6</xdr:col>
                    <xdr:colOff>174567</xdr:colOff>
                    <xdr:row>23</xdr:row>
                    <xdr:rowOff>16625</xdr:rowOff>
                  </to>
                </anchor>
              </controlPr>
            </control>
          </mc:Choice>
        </mc:AlternateContent>
        <mc:AlternateContent xmlns:mc="http://schemas.openxmlformats.org/markup-compatibility/2006">
          <mc:Choice Requires="x14">
            <control shapeId="541649" r:id="rId14" name="Option Button 977">
              <controlPr defaultSize="0" autoFill="0" autoLine="0" autoPict="0">
                <anchor moveWithCells="1">
                  <from>
                    <xdr:col>6</xdr:col>
                    <xdr:colOff>124691</xdr:colOff>
                    <xdr:row>22</xdr:row>
                    <xdr:rowOff>16625</xdr:rowOff>
                  </from>
                  <to>
                    <xdr:col>7</xdr:col>
                    <xdr:colOff>573578</xdr:colOff>
                    <xdr:row>23</xdr:row>
                    <xdr:rowOff>16625</xdr:rowOff>
                  </to>
                </anchor>
              </controlPr>
            </control>
          </mc:Choice>
        </mc:AlternateContent>
        <mc:AlternateContent xmlns:mc="http://schemas.openxmlformats.org/markup-compatibility/2006">
          <mc:Choice Requires="x14">
            <control shapeId="541650" r:id="rId15" name="Option Button 978">
              <controlPr defaultSize="0" autoFill="0" autoLine="0" autoPict="0">
                <anchor moveWithCells="1">
                  <from>
                    <xdr:col>7</xdr:col>
                    <xdr:colOff>174567</xdr:colOff>
                    <xdr:row>22</xdr:row>
                    <xdr:rowOff>16625</xdr:rowOff>
                  </from>
                  <to>
                    <xdr:col>9</xdr:col>
                    <xdr:colOff>8313</xdr:colOff>
                    <xdr:row>23</xdr:row>
                    <xdr:rowOff>16625</xdr:rowOff>
                  </to>
                </anchor>
              </controlPr>
            </control>
          </mc:Choice>
        </mc:AlternateContent>
        <mc:AlternateContent xmlns:mc="http://schemas.openxmlformats.org/markup-compatibility/2006">
          <mc:Choice Requires="x14">
            <control shapeId="541651" r:id="rId16" name="Option Button 979">
              <controlPr defaultSize="0" autoFill="0" autoLine="0" autoPict="0">
                <anchor moveWithCells="1">
                  <from>
                    <xdr:col>8</xdr:col>
                    <xdr:colOff>465513</xdr:colOff>
                    <xdr:row>22</xdr:row>
                    <xdr:rowOff>16625</xdr:rowOff>
                  </from>
                  <to>
                    <xdr:col>10</xdr:col>
                    <xdr:colOff>199505</xdr:colOff>
                    <xdr:row>23</xdr:row>
                    <xdr:rowOff>16625</xdr:rowOff>
                  </to>
                </anchor>
              </controlPr>
            </control>
          </mc:Choice>
        </mc:AlternateContent>
        <mc:AlternateContent xmlns:mc="http://schemas.openxmlformats.org/markup-compatibility/2006">
          <mc:Choice Requires="x14">
            <control shapeId="541652" r:id="rId17" name="Group Box 980">
              <controlPr defaultSize="0" autoFill="0" autoPict="0">
                <anchor moveWithCells="1">
                  <from>
                    <xdr:col>6</xdr:col>
                    <xdr:colOff>116378</xdr:colOff>
                    <xdr:row>17</xdr:row>
                    <xdr:rowOff>66502</xdr:rowOff>
                  </from>
                  <to>
                    <xdr:col>11</xdr:col>
                    <xdr:colOff>798022</xdr:colOff>
                    <xdr:row>20</xdr:row>
                    <xdr:rowOff>16625</xdr:rowOff>
                  </to>
                </anchor>
              </controlPr>
            </control>
          </mc:Choice>
        </mc:AlternateContent>
        <mc:AlternateContent xmlns:mc="http://schemas.openxmlformats.org/markup-compatibility/2006">
          <mc:Choice Requires="x14">
            <control shapeId="541653" r:id="rId18" name="Option Button 981">
              <controlPr defaultSize="0" autoFill="0" autoLine="0" autoPict="0">
                <anchor moveWithCells="1">
                  <from>
                    <xdr:col>6</xdr:col>
                    <xdr:colOff>415636</xdr:colOff>
                    <xdr:row>18</xdr:row>
                    <xdr:rowOff>58189</xdr:rowOff>
                  </from>
                  <to>
                    <xdr:col>9</xdr:col>
                    <xdr:colOff>266007</xdr:colOff>
                    <xdr:row>19</xdr:row>
                    <xdr:rowOff>83127</xdr:rowOff>
                  </to>
                </anchor>
              </controlPr>
            </control>
          </mc:Choice>
        </mc:AlternateContent>
        <mc:AlternateContent xmlns:mc="http://schemas.openxmlformats.org/markup-compatibility/2006">
          <mc:Choice Requires="x14">
            <control shapeId="541654" r:id="rId19" name="Option Button 982">
              <controlPr defaultSize="0" autoFill="0" autoLine="0" autoPict="0">
                <anchor moveWithCells="1">
                  <from>
                    <xdr:col>9</xdr:col>
                    <xdr:colOff>332509</xdr:colOff>
                    <xdr:row>18</xdr:row>
                    <xdr:rowOff>58189</xdr:rowOff>
                  </from>
                  <to>
                    <xdr:col>11</xdr:col>
                    <xdr:colOff>689956</xdr:colOff>
                    <xdr:row>19</xdr:row>
                    <xdr:rowOff>83127</xdr:rowOff>
                  </to>
                </anchor>
              </controlPr>
            </control>
          </mc:Choice>
        </mc:AlternateContent>
        <mc:AlternateContent xmlns:mc="http://schemas.openxmlformats.org/markup-compatibility/2006">
          <mc:Choice Requires="x14">
            <control shapeId="541655" r:id="rId20" name="Group Box 983">
              <controlPr defaultSize="0" autoFill="0" autoPict="0">
                <anchor moveWithCells="1">
                  <from>
                    <xdr:col>0</xdr:col>
                    <xdr:colOff>83127</xdr:colOff>
                    <xdr:row>20</xdr:row>
                    <xdr:rowOff>174567</xdr:rowOff>
                  </from>
                  <to>
                    <xdr:col>11</xdr:col>
                    <xdr:colOff>764771</xdr:colOff>
                    <xdr:row>23</xdr:row>
                    <xdr:rowOff>74815</xdr:rowOff>
                  </to>
                </anchor>
              </controlPr>
            </control>
          </mc:Choice>
        </mc:AlternateContent>
        <mc:AlternateContent xmlns:mc="http://schemas.openxmlformats.org/markup-compatibility/2006">
          <mc:Choice Requires="x14">
            <control shapeId="541656" r:id="rId21" name="Group Box 984">
              <controlPr defaultSize="0" autoFill="0" autoPict="0">
                <anchor moveWithCells="1">
                  <from>
                    <xdr:col>0</xdr:col>
                    <xdr:colOff>83127</xdr:colOff>
                    <xdr:row>24</xdr:row>
                    <xdr:rowOff>0</xdr:rowOff>
                  </from>
                  <to>
                    <xdr:col>11</xdr:col>
                    <xdr:colOff>773084</xdr:colOff>
                    <xdr:row>28</xdr:row>
                    <xdr:rowOff>41564</xdr:rowOff>
                  </to>
                </anchor>
              </controlPr>
            </control>
          </mc:Choice>
        </mc:AlternateContent>
        <mc:AlternateContent xmlns:mc="http://schemas.openxmlformats.org/markup-compatibility/2006">
          <mc:Choice Requires="x14">
            <control shapeId="541657" r:id="rId22" name="Option Button 985">
              <controlPr defaultSize="0" autoFill="0" autoLine="0" autoPict="0">
                <anchor moveWithCells="1">
                  <from>
                    <xdr:col>1</xdr:col>
                    <xdr:colOff>515389</xdr:colOff>
                    <xdr:row>26</xdr:row>
                    <xdr:rowOff>0</xdr:rowOff>
                  </from>
                  <to>
                    <xdr:col>3</xdr:col>
                    <xdr:colOff>257695</xdr:colOff>
                    <xdr:row>27</xdr:row>
                    <xdr:rowOff>16625</xdr:rowOff>
                  </to>
                </anchor>
              </controlPr>
            </control>
          </mc:Choice>
        </mc:AlternateContent>
        <mc:AlternateContent xmlns:mc="http://schemas.openxmlformats.org/markup-compatibility/2006">
          <mc:Choice Requires="x14">
            <control shapeId="541658" r:id="rId23" name="Option Button 986">
              <controlPr defaultSize="0" autoFill="0" autoLine="0" autoPict="0">
                <anchor moveWithCells="1">
                  <from>
                    <xdr:col>2</xdr:col>
                    <xdr:colOff>565265</xdr:colOff>
                    <xdr:row>26</xdr:row>
                    <xdr:rowOff>0</xdr:rowOff>
                  </from>
                  <to>
                    <xdr:col>4</xdr:col>
                    <xdr:colOff>598516</xdr:colOff>
                    <xdr:row>27</xdr:row>
                    <xdr:rowOff>24938</xdr:rowOff>
                  </to>
                </anchor>
              </controlPr>
            </control>
          </mc:Choice>
        </mc:AlternateContent>
        <mc:AlternateContent xmlns:mc="http://schemas.openxmlformats.org/markup-compatibility/2006">
          <mc:Choice Requires="x14">
            <control shapeId="541659" r:id="rId24" name="Option Button 987">
              <controlPr defaultSize="0" autoFill="0" autoLine="0" autoPict="0">
                <anchor moveWithCells="1">
                  <from>
                    <xdr:col>5</xdr:col>
                    <xdr:colOff>41564</xdr:colOff>
                    <xdr:row>26</xdr:row>
                    <xdr:rowOff>0</xdr:rowOff>
                  </from>
                  <to>
                    <xdr:col>6</xdr:col>
                    <xdr:colOff>108065</xdr:colOff>
                    <xdr:row>27</xdr:row>
                    <xdr:rowOff>24938</xdr:rowOff>
                  </to>
                </anchor>
              </controlPr>
            </control>
          </mc:Choice>
        </mc:AlternateContent>
        <mc:AlternateContent xmlns:mc="http://schemas.openxmlformats.org/markup-compatibility/2006">
          <mc:Choice Requires="x14">
            <control shapeId="541660" r:id="rId25" name="Option Button 988">
              <controlPr defaultSize="0" autoFill="0" autoLine="0" autoPict="0">
                <anchor moveWithCells="1">
                  <from>
                    <xdr:col>6</xdr:col>
                    <xdr:colOff>124691</xdr:colOff>
                    <xdr:row>26</xdr:row>
                    <xdr:rowOff>0</xdr:rowOff>
                  </from>
                  <to>
                    <xdr:col>7</xdr:col>
                    <xdr:colOff>573578</xdr:colOff>
                    <xdr:row>27</xdr:row>
                    <xdr:rowOff>16625</xdr:rowOff>
                  </to>
                </anchor>
              </controlPr>
            </control>
          </mc:Choice>
        </mc:AlternateContent>
        <mc:AlternateContent xmlns:mc="http://schemas.openxmlformats.org/markup-compatibility/2006">
          <mc:Choice Requires="x14">
            <control shapeId="541661" r:id="rId26" name="Option Button 989">
              <controlPr defaultSize="0" autoFill="0" autoLine="0" autoPict="0">
                <anchor moveWithCells="1">
                  <from>
                    <xdr:col>7</xdr:col>
                    <xdr:colOff>390698</xdr:colOff>
                    <xdr:row>26</xdr:row>
                    <xdr:rowOff>0</xdr:rowOff>
                  </from>
                  <to>
                    <xdr:col>9</xdr:col>
                    <xdr:colOff>232756</xdr:colOff>
                    <xdr:row>27</xdr:row>
                    <xdr:rowOff>16625</xdr:rowOff>
                  </to>
                </anchor>
              </controlPr>
            </control>
          </mc:Choice>
        </mc:AlternateContent>
        <mc:AlternateContent xmlns:mc="http://schemas.openxmlformats.org/markup-compatibility/2006">
          <mc:Choice Requires="x14">
            <control shapeId="541662" r:id="rId27" name="Option Button 990">
              <controlPr defaultSize="0" autoFill="0" autoLine="0" autoPict="0">
                <anchor moveWithCells="1">
                  <from>
                    <xdr:col>8</xdr:col>
                    <xdr:colOff>465513</xdr:colOff>
                    <xdr:row>26</xdr:row>
                    <xdr:rowOff>0</xdr:rowOff>
                  </from>
                  <to>
                    <xdr:col>10</xdr:col>
                    <xdr:colOff>199505</xdr:colOff>
                    <xdr:row>27</xdr:row>
                    <xdr:rowOff>16625</xdr:rowOff>
                  </to>
                </anchor>
              </controlPr>
            </control>
          </mc:Choice>
        </mc:AlternateContent>
        <mc:AlternateContent xmlns:mc="http://schemas.openxmlformats.org/markup-compatibility/2006">
          <mc:Choice Requires="x14">
            <control shapeId="541663" r:id="rId28" name="Option Button 991">
              <controlPr defaultSize="0" autoFill="0" autoLine="0" autoPict="0">
                <anchor moveWithCells="1">
                  <from>
                    <xdr:col>1</xdr:col>
                    <xdr:colOff>0</xdr:colOff>
                    <xdr:row>27</xdr:row>
                    <xdr:rowOff>8313</xdr:rowOff>
                  </from>
                  <to>
                    <xdr:col>2</xdr:col>
                    <xdr:colOff>349135</xdr:colOff>
                    <xdr:row>28</xdr:row>
                    <xdr:rowOff>8313</xdr:rowOff>
                  </to>
                </anchor>
              </controlPr>
            </control>
          </mc:Choice>
        </mc:AlternateContent>
        <mc:AlternateContent xmlns:mc="http://schemas.openxmlformats.org/markup-compatibility/2006">
          <mc:Choice Requires="x14">
            <control shapeId="541664" r:id="rId29" name="Option Button 992">
              <controlPr defaultSize="0" autoFill="0" autoLine="0" autoPict="0">
                <anchor moveWithCells="1">
                  <from>
                    <xdr:col>2</xdr:col>
                    <xdr:colOff>241069</xdr:colOff>
                    <xdr:row>27</xdr:row>
                    <xdr:rowOff>8313</xdr:rowOff>
                  </from>
                  <to>
                    <xdr:col>4</xdr:col>
                    <xdr:colOff>74815</xdr:colOff>
                    <xdr:row>28</xdr:row>
                    <xdr:rowOff>8313</xdr:rowOff>
                  </to>
                </anchor>
              </controlPr>
            </control>
          </mc:Choice>
        </mc:AlternateContent>
        <mc:AlternateContent xmlns:mc="http://schemas.openxmlformats.org/markup-compatibility/2006">
          <mc:Choice Requires="x14">
            <control shapeId="541665" r:id="rId30" name="Option Button 993">
              <controlPr defaultSize="0" autoFill="0" autoLine="0" autoPict="0">
                <anchor moveWithCells="1">
                  <from>
                    <xdr:col>3</xdr:col>
                    <xdr:colOff>440575</xdr:colOff>
                    <xdr:row>27</xdr:row>
                    <xdr:rowOff>8313</xdr:rowOff>
                  </from>
                  <to>
                    <xdr:col>5</xdr:col>
                    <xdr:colOff>274320</xdr:colOff>
                    <xdr:row>28</xdr:row>
                    <xdr:rowOff>8313</xdr:rowOff>
                  </to>
                </anchor>
              </controlPr>
            </control>
          </mc:Choice>
        </mc:AlternateContent>
        <mc:AlternateContent xmlns:mc="http://schemas.openxmlformats.org/markup-compatibility/2006">
          <mc:Choice Requires="x14">
            <control shapeId="541666" r:id="rId31" name="Option Button 994">
              <controlPr defaultSize="0" autoFill="0" autoLine="0" autoPict="0">
                <anchor moveWithCells="1">
                  <from>
                    <xdr:col>5</xdr:col>
                    <xdr:colOff>257695</xdr:colOff>
                    <xdr:row>27</xdr:row>
                    <xdr:rowOff>8313</xdr:rowOff>
                  </from>
                  <to>
                    <xdr:col>6</xdr:col>
                    <xdr:colOff>498764</xdr:colOff>
                    <xdr:row>28</xdr:row>
                    <xdr:rowOff>8313</xdr:rowOff>
                  </to>
                </anchor>
              </controlPr>
            </control>
          </mc:Choice>
        </mc:AlternateContent>
        <mc:AlternateContent xmlns:mc="http://schemas.openxmlformats.org/markup-compatibility/2006">
          <mc:Choice Requires="x14">
            <control shapeId="541667" r:id="rId32" name="Option Button 995">
              <controlPr defaultSize="0" autoFill="0" autoLine="0" autoPict="0">
                <anchor moveWithCells="1">
                  <from>
                    <xdr:col>8</xdr:col>
                    <xdr:colOff>465513</xdr:colOff>
                    <xdr:row>27</xdr:row>
                    <xdr:rowOff>8313</xdr:rowOff>
                  </from>
                  <to>
                    <xdr:col>10</xdr:col>
                    <xdr:colOff>199505</xdr:colOff>
                    <xdr:row>28</xdr:row>
                    <xdr:rowOff>8313</xdr:rowOff>
                  </to>
                </anchor>
              </controlPr>
            </control>
          </mc:Choice>
        </mc:AlternateContent>
        <mc:AlternateContent xmlns:mc="http://schemas.openxmlformats.org/markup-compatibility/2006">
          <mc:Choice Requires="x14">
            <control shapeId="541668" r:id="rId33" name="Option Button 996">
              <controlPr defaultSize="0" autoFill="0" autoLine="0" autoPict="0">
                <anchor moveWithCells="1">
                  <from>
                    <xdr:col>6</xdr:col>
                    <xdr:colOff>465513</xdr:colOff>
                    <xdr:row>27</xdr:row>
                    <xdr:rowOff>0</xdr:rowOff>
                  </from>
                  <to>
                    <xdr:col>8</xdr:col>
                    <xdr:colOff>532015</xdr:colOff>
                    <xdr:row>28</xdr:row>
                    <xdr:rowOff>8313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R150"/>
  <sheetViews>
    <sheetView tabSelected="1" zoomScale="80" zoomScaleNormal="80" zoomScaleSheetLayoutView="80" workbookViewId="0">
      <selection activeCell="A11" sqref="A11"/>
    </sheetView>
  </sheetViews>
  <sheetFormatPr defaultRowHeight="12.45" x14ac:dyDescent="0.2"/>
  <cols>
    <col min="1" max="1" width="14.25" customWidth="1"/>
    <col min="2" max="2" width="9.25" customWidth="1"/>
    <col min="3" max="3" width="5.375" customWidth="1"/>
    <col min="4" max="4" width="12.375" customWidth="1"/>
    <col min="5" max="6" width="14" customWidth="1"/>
    <col min="7" max="7" width="7" customWidth="1"/>
    <col min="8" max="8" width="16.625" customWidth="1"/>
    <col min="9" max="9" width="12.25" customWidth="1"/>
    <col min="10" max="10" width="9.125" customWidth="1"/>
    <col min="11" max="11" width="5.375" customWidth="1"/>
    <col min="12" max="12" width="10.25" customWidth="1"/>
    <col min="13" max="13" width="14.625" customWidth="1"/>
    <col min="14" max="14" width="14.25" customWidth="1"/>
    <col min="15" max="15" width="11.75" customWidth="1"/>
    <col min="16" max="16" width="14.375" customWidth="1"/>
    <col min="17" max="18" width="11.75" customWidth="1"/>
    <col min="19" max="19" width="13.625" customWidth="1"/>
    <col min="20" max="20" width="15.125" customWidth="1"/>
    <col min="24" max="24" width="29.375" bestFit="1" customWidth="1"/>
    <col min="25" max="25" width="11" customWidth="1"/>
  </cols>
  <sheetData>
    <row r="1" spans="1:252" ht="13.1" thickBot="1" x14ac:dyDescent="0.25"/>
    <row r="2" spans="1:252" s="29" customFormat="1" ht="19.5" customHeight="1" thickBot="1" x14ac:dyDescent="0.45">
      <c r="A2" s="575" t="s">
        <v>250</v>
      </c>
      <c r="B2" s="576"/>
      <c r="C2" s="576"/>
      <c r="D2" s="576"/>
      <c r="E2" s="576"/>
      <c r="F2" s="576"/>
      <c r="G2" s="576"/>
      <c r="H2" s="576"/>
      <c r="I2" s="576"/>
      <c r="J2" s="576"/>
      <c r="K2" s="576"/>
      <c r="L2" s="576"/>
      <c r="M2" s="576"/>
      <c r="N2" s="576"/>
      <c r="O2" s="576"/>
      <c r="P2" s="576"/>
      <c r="Q2" s="576"/>
      <c r="R2" s="576"/>
      <c r="S2" s="576"/>
      <c r="T2" s="577"/>
      <c r="U2" s="30"/>
      <c r="V2" s="30"/>
      <c r="W2" s="30"/>
    </row>
    <row r="3" spans="1:252" ht="12.8" customHeight="1" x14ac:dyDescent="0.2">
      <c r="A3" s="76"/>
      <c r="B3" s="76"/>
      <c r="C3" s="76"/>
      <c r="D3" s="76"/>
      <c r="E3" s="76"/>
      <c r="F3" s="76"/>
      <c r="G3" s="76"/>
      <c r="H3" s="76"/>
      <c r="I3" s="76"/>
      <c r="J3" s="76"/>
      <c r="K3" s="76"/>
      <c r="L3" s="76"/>
      <c r="M3" s="76"/>
      <c r="N3" s="76"/>
      <c r="O3" s="76"/>
      <c r="P3" s="76"/>
      <c r="Q3" s="76"/>
      <c r="R3" s="76"/>
      <c r="S3" s="76"/>
    </row>
    <row r="4" spans="1:252" s="89" customFormat="1" ht="10.5" x14ac:dyDescent="0.2">
      <c r="A4" s="140" t="s">
        <v>130</v>
      </c>
      <c r="D4" s="141" t="s">
        <v>76</v>
      </c>
      <c r="E4" s="95"/>
      <c r="F4" s="95"/>
      <c r="G4" s="3"/>
      <c r="H4" s="90"/>
      <c r="I4" s="105"/>
      <c r="J4" s="85"/>
      <c r="K4" s="3"/>
      <c r="L4" s="3"/>
      <c r="M4" s="3"/>
      <c r="N4" s="3"/>
      <c r="O4" s="3"/>
      <c r="P4" s="3"/>
      <c r="Q4" s="3"/>
      <c r="R4" s="3"/>
      <c r="S4" s="195">
        <v>43838</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89" customFormat="1" ht="10.5" x14ac:dyDescent="0.2">
      <c r="B5" s="139">
        <v>2</v>
      </c>
      <c r="D5" s="32" t="s">
        <v>75</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16.55" customHeight="1" x14ac:dyDescent="0.2">
      <c r="A6" s="527" t="s">
        <v>418</v>
      </c>
      <c r="B6" s="92"/>
      <c r="C6" s="89"/>
      <c r="D6" s="91"/>
      <c r="E6" s="91"/>
      <c r="F6" s="91"/>
      <c r="G6" s="89"/>
      <c r="H6" s="526" t="s">
        <v>419</v>
      </c>
      <c r="I6" s="76"/>
      <c r="J6" s="76"/>
      <c r="K6" s="76"/>
      <c r="L6" s="76"/>
      <c r="M6" s="76"/>
      <c r="N6" s="76"/>
      <c r="O6" s="76"/>
      <c r="P6" s="76"/>
      <c r="Q6" s="76"/>
      <c r="R6" s="76"/>
      <c r="S6" s="76"/>
      <c r="T6" s="76"/>
      <c r="U6" s="76"/>
      <c r="V6" s="76"/>
    </row>
    <row r="7" spans="1:252" ht="20.3" customHeight="1" thickBot="1" x14ac:dyDescent="0.25">
      <c r="A7" s="89"/>
      <c r="B7" s="92"/>
      <c r="C7" s="89"/>
      <c r="D7" s="91"/>
      <c r="E7" s="91"/>
      <c r="F7" s="91"/>
      <c r="G7" s="89"/>
      <c r="H7" s="526" t="s">
        <v>420</v>
      </c>
      <c r="I7" s="76"/>
      <c r="J7" s="76"/>
      <c r="K7" s="76"/>
      <c r="L7" s="76"/>
      <c r="M7" s="76"/>
      <c r="N7" s="76"/>
      <c r="O7" s="76"/>
      <c r="P7" s="76"/>
      <c r="Q7" s="76"/>
      <c r="R7" s="76"/>
      <c r="S7" s="76"/>
      <c r="T7" s="76"/>
      <c r="U7" s="76"/>
      <c r="V7" s="76"/>
    </row>
    <row r="8" spans="1:252" s="218" customFormat="1" ht="42.05" customHeight="1" x14ac:dyDescent="0.2">
      <c r="A8" s="579" t="str">
        <f>IF(B5=1,"Base Efficiency", "Existing Equipment                     (if operational)")</f>
        <v>Existing Equipment                     (if operational)</v>
      </c>
      <c r="B8" s="580"/>
      <c r="C8" s="581"/>
      <c r="D8" s="579" t="s">
        <v>13</v>
      </c>
      <c r="E8" s="584"/>
      <c r="F8" s="584"/>
      <c r="G8" s="584"/>
      <c r="H8" s="584"/>
      <c r="I8" s="584"/>
      <c r="J8" s="584"/>
      <c r="K8" s="584"/>
      <c r="L8" s="584"/>
      <c r="M8" s="584"/>
      <c r="N8" s="585"/>
      <c r="O8" s="586" t="s">
        <v>14</v>
      </c>
      <c r="P8" s="587"/>
      <c r="Q8" s="587"/>
      <c r="R8" s="587"/>
      <c r="S8" s="587"/>
      <c r="T8" s="588"/>
    </row>
    <row r="9" spans="1:252" s="210" customFormat="1" ht="20.149999999999999" customHeight="1" x14ac:dyDescent="0.25">
      <c r="A9" s="259" t="s">
        <v>15</v>
      </c>
      <c r="B9" s="260" t="s">
        <v>16</v>
      </c>
      <c r="C9" s="261" t="s">
        <v>17</v>
      </c>
      <c r="D9" s="262" t="s">
        <v>18</v>
      </c>
      <c r="E9" s="263" t="s">
        <v>19</v>
      </c>
      <c r="F9" s="263" t="s">
        <v>20</v>
      </c>
      <c r="G9" s="263" t="s">
        <v>21</v>
      </c>
      <c r="H9" s="263" t="s">
        <v>22</v>
      </c>
      <c r="I9" s="263" t="s">
        <v>23</v>
      </c>
      <c r="J9" s="263" t="s">
        <v>24</v>
      </c>
      <c r="K9" s="263" t="s">
        <v>25</v>
      </c>
      <c r="L9" s="263" t="s">
        <v>26</v>
      </c>
      <c r="M9" s="263" t="s">
        <v>27</v>
      </c>
      <c r="N9" s="264" t="s">
        <v>205</v>
      </c>
      <c r="O9" s="434" t="s">
        <v>28</v>
      </c>
      <c r="P9" s="263" t="s">
        <v>29</v>
      </c>
      <c r="Q9" s="263" t="s">
        <v>30</v>
      </c>
      <c r="R9" s="263" t="s">
        <v>31</v>
      </c>
      <c r="S9" s="263" t="s">
        <v>32</v>
      </c>
      <c r="T9" s="264" t="s">
        <v>33</v>
      </c>
    </row>
    <row r="10" spans="1:252" s="208" customFormat="1" ht="72.849999999999994" customHeight="1" thickBot="1" x14ac:dyDescent="0.25">
      <c r="A10" s="425" t="s">
        <v>191</v>
      </c>
      <c r="B10" s="426" t="str">
        <f>IF(B5=1, "Base Efficiency","Existing/Base SEER, IEER or EER")</f>
        <v>Existing/Base SEER, IEER or EER</v>
      </c>
      <c r="C10" s="427" t="s">
        <v>34</v>
      </c>
      <c r="D10" s="445" t="s">
        <v>192</v>
      </c>
      <c r="E10" s="446" t="s">
        <v>193</v>
      </c>
      <c r="F10" s="446" t="s">
        <v>194</v>
      </c>
      <c r="G10" s="446" t="s">
        <v>191</v>
      </c>
      <c r="H10" s="446" t="s">
        <v>195</v>
      </c>
      <c r="I10" s="446" t="s">
        <v>196</v>
      </c>
      <c r="J10" s="446" t="s">
        <v>251</v>
      </c>
      <c r="K10" s="446" t="s">
        <v>34</v>
      </c>
      <c r="L10" s="446" t="s">
        <v>197</v>
      </c>
      <c r="M10" s="446" t="s">
        <v>198</v>
      </c>
      <c r="N10" s="447" t="s">
        <v>243</v>
      </c>
      <c r="O10" s="435" t="s">
        <v>199</v>
      </c>
      <c r="P10" s="378" t="s">
        <v>200</v>
      </c>
      <c r="Q10" s="378" t="s">
        <v>201</v>
      </c>
      <c r="R10" s="378" t="s">
        <v>202</v>
      </c>
      <c r="S10" s="378" t="s">
        <v>203</v>
      </c>
      <c r="T10" s="379" t="s">
        <v>204</v>
      </c>
    </row>
    <row r="11" spans="1:252" s="13" customFormat="1" ht="24.9" customHeight="1" thickBot="1" x14ac:dyDescent="0.25">
      <c r="A11" s="428"/>
      <c r="B11" s="429"/>
      <c r="C11" s="430"/>
      <c r="D11" s="438"/>
      <c r="E11" s="439"/>
      <c r="F11" s="439"/>
      <c r="G11" s="439"/>
      <c r="H11" s="440"/>
      <c r="I11" s="441" t="str">
        <f t="shared" ref="I11:I17" si="0">IF(ISERROR(VLOOKUP($D11,$A$22:$L$40,8,FALSE)),"",VLOOKUP($D11,$A$22:$L$40,8,FALSE))</f>
        <v/>
      </c>
      <c r="J11" s="442"/>
      <c r="K11" s="439"/>
      <c r="L11" s="439"/>
      <c r="M11" s="443"/>
      <c r="N11" s="444"/>
      <c r="O11" s="436" t="str">
        <f t="shared" ref="O11:O17" si="1">IF(ISERROR(VLOOKUP($D11,$A$22:$L$40,10,FALSE)),"",VLOOKUP($D11,$A$22:$L$40,10,FALSE))</f>
        <v/>
      </c>
      <c r="P11" s="431" t="str">
        <f t="shared" ref="P11" si="2">IF(J11&lt;I11,0,IF(ISERROR(G11*K11*O11),"",(G11*K11*O11)))</f>
        <v/>
      </c>
      <c r="Q11" s="432" t="str">
        <f>IF(D11="","",IF(J11-I11&lt;0,0,(J11-I11)))</f>
        <v/>
      </c>
      <c r="R11" s="431" t="str">
        <f t="shared" ref="R11:R17" si="3">IF(ISERROR(VLOOKUP(D11,$A$22:$L$40,11,FALSE)),"",VLOOKUP(D11,$A$22:$L$40,11,FALSE))</f>
        <v/>
      </c>
      <c r="S11" s="431" t="str">
        <f t="shared" ref="S11" si="4">IF(ISERROR((Q11*R11)*(G11*K11)*10),"",((Q11*R11)*(G11*K11)*10))</f>
        <v/>
      </c>
      <c r="T11" s="433" t="str">
        <f>IF(ISERROR(P11+S11),"",IF(P11+S11&gt;M11*0.5,M11*0.5,IF((P11+S11)&gt;M11,M11,(P11+S11))))</f>
        <v/>
      </c>
    </row>
    <row r="12" spans="1:252" s="13" customFormat="1" ht="24.9" customHeight="1" thickBot="1" x14ac:dyDescent="0.25">
      <c r="A12" s="374"/>
      <c r="B12" s="229"/>
      <c r="C12" s="241"/>
      <c r="D12" s="438"/>
      <c r="E12" s="230"/>
      <c r="F12" s="230"/>
      <c r="G12" s="230"/>
      <c r="H12" s="231"/>
      <c r="I12" s="441" t="str">
        <f t="shared" si="0"/>
        <v/>
      </c>
      <c r="J12" s="232"/>
      <c r="K12" s="230"/>
      <c r="L12" s="230"/>
      <c r="M12" s="233"/>
      <c r="N12" s="245"/>
      <c r="O12" s="436" t="str">
        <f t="shared" si="1"/>
        <v/>
      </c>
      <c r="P12" s="269" t="str">
        <f t="shared" ref="P12:P17" si="5">IF(J12&lt;I12,0,IF(ISERROR(G12*K12*O12),"",(G12*K12*O12)))</f>
        <v/>
      </c>
      <c r="Q12" s="270" t="str">
        <f t="shared" ref="Q12:Q17" si="6">IF(D12="","",IF(J12-I12&lt;0,0,(J12-I12)))</f>
        <v/>
      </c>
      <c r="R12" s="269" t="str">
        <f t="shared" si="3"/>
        <v/>
      </c>
      <c r="S12" s="269" t="str">
        <f t="shared" ref="S12:S17" si="7">IF(ISERROR((Q12*R12)*(G12*K12)*10),"",((Q12*R12)*(G12*K12)*10))</f>
        <v/>
      </c>
      <c r="T12" s="433" t="str">
        <f t="shared" ref="T12:T17" si="8">IF(ISERROR(P12+S12),"",IF(P12+S12&gt;M12*0.5,M12*0.5,IF((P12+S12)&gt;M12,M12,(P12+S12))))</f>
        <v/>
      </c>
    </row>
    <row r="13" spans="1:252" s="13" customFormat="1" ht="24.9" customHeight="1" thickBot="1" x14ac:dyDescent="0.25">
      <c r="A13" s="374"/>
      <c r="B13" s="229"/>
      <c r="C13" s="241"/>
      <c r="D13" s="244"/>
      <c r="E13" s="230"/>
      <c r="F13" s="230"/>
      <c r="G13" s="230"/>
      <c r="H13" s="231"/>
      <c r="I13" s="441" t="str">
        <f t="shared" si="0"/>
        <v/>
      </c>
      <c r="J13" s="232"/>
      <c r="K13" s="230"/>
      <c r="L13" s="230"/>
      <c r="M13" s="233"/>
      <c r="N13" s="245"/>
      <c r="O13" s="436" t="str">
        <f t="shared" si="1"/>
        <v/>
      </c>
      <c r="P13" s="269" t="str">
        <f t="shared" si="5"/>
        <v/>
      </c>
      <c r="Q13" s="270" t="str">
        <f t="shared" si="6"/>
        <v/>
      </c>
      <c r="R13" s="269" t="str">
        <f t="shared" si="3"/>
        <v/>
      </c>
      <c r="S13" s="269" t="str">
        <f t="shared" si="7"/>
        <v/>
      </c>
      <c r="T13" s="433" t="str">
        <f t="shared" si="8"/>
        <v/>
      </c>
    </row>
    <row r="14" spans="1:252" s="13" customFormat="1" ht="24.9" customHeight="1" thickBot="1" x14ac:dyDescent="0.25">
      <c r="A14" s="374"/>
      <c r="B14" s="229"/>
      <c r="C14" s="241"/>
      <c r="D14" s="438"/>
      <c r="E14" s="230"/>
      <c r="F14" s="230"/>
      <c r="G14" s="230"/>
      <c r="H14" s="231"/>
      <c r="I14" s="441" t="str">
        <f t="shared" si="0"/>
        <v/>
      </c>
      <c r="J14" s="232"/>
      <c r="K14" s="230"/>
      <c r="L14" s="230"/>
      <c r="M14" s="233"/>
      <c r="N14" s="245"/>
      <c r="O14" s="436" t="str">
        <f t="shared" si="1"/>
        <v/>
      </c>
      <c r="P14" s="269" t="str">
        <f t="shared" si="5"/>
        <v/>
      </c>
      <c r="Q14" s="270" t="str">
        <f t="shared" si="6"/>
        <v/>
      </c>
      <c r="R14" s="269" t="str">
        <f t="shared" si="3"/>
        <v/>
      </c>
      <c r="S14" s="269" t="str">
        <f t="shared" si="7"/>
        <v/>
      </c>
      <c r="T14" s="433" t="str">
        <f t="shared" si="8"/>
        <v/>
      </c>
    </row>
    <row r="15" spans="1:252" s="13" customFormat="1" ht="24.9" customHeight="1" thickBot="1" x14ac:dyDescent="0.25">
      <c r="A15" s="374"/>
      <c r="B15" s="229"/>
      <c r="C15" s="241"/>
      <c r="D15" s="438"/>
      <c r="E15" s="230"/>
      <c r="F15" s="230"/>
      <c r="G15" s="230"/>
      <c r="H15" s="231"/>
      <c r="I15" s="441" t="str">
        <f t="shared" si="0"/>
        <v/>
      </c>
      <c r="J15" s="232"/>
      <c r="K15" s="230"/>
      <c r="L15" s="230"/>
      <c r="M15" s="233"/>
      <c r="N15" s="245"/>
      <c r="O15" s="436" t="str">
        <f t="shared" si="1"/>
        <v/>
      </c>
      <c r="P15" s="269" t="str">
        <f t="shared" si="5"/>
        <v/>
      </c>
      <c r="Q15" s="270" t="str">
        <f t="shared" si="6"/>
        <v/>
      </c>
      <c r="R15" s="269" t="str">
        <f t="shared" si="3"/>
        <v/>
      </c>
      <c r="S15" s="269" t="str">
        <f t="shared" si="7"/>
        <v/>
      </c>
      <c r="T15" s="433" t="str">
        <f t="shared" si="8"/>
        <v/>
      </c>
    </row>
    <row r="16" spans="1:252" s="13" customFormat="1" ht="24.9" customHeight="1" thickBot="1" x14ac:dyDescent="0.25">
      <c r="A16" s="374"/>
      <c r="B16" s="229"/>
      <c r="C16" s="241"/>
      <c r="D16" s="438"/>
      <c r="E16" s="230"/>
      <c r="F16" s="230"/>
      <c r="G16" s="230"/>
      <c r="H16" s="231"/>
      <c r="I16" s="441" t="str">
        <f t="shared" si="0"/>
        <v/>
      </c>
      <c r="J16" s="232"/>
      <c r="K16" s="230"/>
      <c r="L16" s="230"/>
      <c r="M16" s="233"/>
      <c r="N16" s="245"/>
      <c r="O16" s="436" t="str">
        <f t="shared" si="1"/>
        <v/>
      </c>
      <c r="P16" s="269" t="str">
        <f t="shared" si="5"/>
        <v/>
      </c>
      <c r="Q16" s="270" t="str">
        <f t="shared" si="6"/>
        <v/>
      </c>
      <c r="R16" s="269" t="str">
        <f t="shared" si="3"/>
        <v/>
      </c>
      <c r="S16" s="269" t="str">
        <f t="shared" si="7"/>
        <v/>
      </c>
      <c r="T16" s="433" t="str">
        <f t="shared" si="8"/>
        <v/>
      </c>
      <c r="X16" s="563" t="s">
        <v>207</v>
      </c>
      <c r="Y16" s="564"/>
    </row>
    <row r="17" spans="1:25" s="13" customFormat="1" ht="24.9" customHeight="1" thickBot="1" x14ac:dyDescent="0.25">
      <c r="A17" s="375"/>
      <c r="B17" s="242"/>
      <c r="C17" s="243"/>
      <c r="D17" s="246"/>
      <c r="E17" s="247"/>
      <c r="F17" s="247"/>
      <c r="G17" s="247"/>
      <c r="H17" s="248"/>
      <c r="I17" s="268" t="str">
        <f t="shared" si="0"/>
        <v/>
      </c>
      <c r="J17" s="249"/>
      <c r="K17" s="247"/>
      <c r="L17" s="247"/>
      <c r="M17" s="250"/>
      <c r="N17" s="251"/>
      <c r="O17" s="437" t="str">
        <f t="shared" si="1"/>
        <v/>
      </c>
      <c r="P17" s="271" t="str">
        <f t="shared" si="5"/>
        <v/>
      </c>
      <c r="Q17" s="272" t="str">
        <f t="shared" si="6"/>
        <v/>
      </c>
      <c r="R17" s="271" t="str">
        <f t="shared" si="3"/>
        <v/>
      </c>
      <c r="S17" s="271" t="str">
        <f t="shared" si="7"/>
        <v/>
      </c>
      <c r="T17" s="433" t="str">
        <f t="shared" si="8"/>
        <v/>
      </c>
      <c r="X17" s="376">
        <v>14.5</v>
      </c>
      <c r="Y17" s="545" t="s">
        <v>131</v>
      </c>
    </row>
    <row r="18" spans="1:25" s="13" customFormat="1" ht="28.5" customHeight="1" thickBot="1" x14ac:dyDescent="0.25">
      <c r="A18" s="456"/>
      <c r="B18" s="14"/>
      <c r="C18" s="14"/>
      <c r="D18" s="14"/>
      <c r="E18" s="14"/>
      <c r="F18" s="14"/>
      <c r="G18" s="14"/>
      <c r="H18" s="15"/>
      <c r="I18" s="16"/>
      <c r="J18" s="14"/>
      <c r="K18" s="14"/>
      <c r="L18" s="14"/>
      <c r="M18" s="14"/>
      <c r="Q18" s="604" t="s">
        <v>477</v>
      </c>
      <c r="R18" s="604"/>
      <c r="S18" s="17" t="s">
        <v>37</v>
      </c>
      <c r="T18" s="458">
        <f>SUM(T11:T17)</f>
        <v>0</v>
      </c>
      <c r="X18" s="412">
        <v>15.5</v>
      </c>
      <c r="Y18" s="546" t="s">
        <v>131</v>
      </c>
    </row>
    <row r="19" spans="1:25" s="11" customFormat="1" ht="8.1999999999999993" customHeight="1" thickBot="1" x14ac:dyDescent="0.25">
      <c r="B19" s="18"/>
      <c r="C19" s="18"/>
      <c r="D19" s="18"/>
      <c r="E19" s="18"/>
      <c r="F19" s="18"/>
      <c r="G19" s="18"/>
      <c r="H19" s="18"/>
      <c r="I19" s="18"/>
      <c r="Q19" s="605"/>
      <c r="R19" s="605"/>
      <c r="X19" s="412">
        <v>13.9</v>
      </c>
      <c r="Y19" s="546" t="s">
        <v>252</v>
      </c>
    </row>
    <row r="20" spans="1:25" s="11" customFormat="1" ht="12.8" customHeight="1" thickBot="1" x14ac:dyDescent="0.25">
      <c r="A20" s="418" t="s">
        <v>38</v>
      </c>
      <c r="B20" s="419"/>
      <c r="C20" s="419"/>
      <c r="D20" s="419"/>
      <c r="E20" s="419"/>
      <c r="F20" s="419"/>
      <c r="G20" s="419"/>
      <c r="H20" s="419"/>
      <c r="I20" s="419"/>
      <c r="J20" s="419"/>
      <c r="K20" s="420"/>
      <c r="L20" s="420"/>
      <c r="M20" s="419"/>
      <c r="N20" s="419"/>
      <c r="O20" s="419"/>
      <c r="P20" s="421"/>
      <c r="R20" s="593" t="s">
        <v>39</v>
      </c>
      <c r="S20" s="594"/>
      <c r="T20" s="595"/>
      <c r="X20" s="369">
        <v>13.3</v>
      </c>
      <c r="Y20" s="546" t="s">
        <v>252</v>
      </c>
    </row>
    <row r="21" spans="1:25" s="12" customFormat="1" ht="32.1" thickBot="1" x14ac:dyDescent="0.25">
      <c r="A21" s="449" t="s">
        <v>206</v>
      </c>
      <c r="B21" s="596" t="s">
        <v>41</v>
      </c>
      <c r="C21" s="596"/>
      <c r="D21" s="596"/>
      <c r="E21" s="596"/>
      <c r="F21" s="596"/>
      <c r="G21" s="597"/>
      <c r="H21" s="563" t="s">
        <v>207</v>
      </c>
      <c r="I21" s="578"/>
      <c r="J21" s="373" t="s">
        <v>208</v>
      </c>
      <c r="K21" s="598" t="s">
        <v>209</v>
      </c>
      <c r="L21" s="599"/>
      <c r="M21" s="563" t="s">
        <v>410</v>
      </c>
      <c r="N21" s="589"/>
      <c r="P21" s="591" t="s">
        <v>253</v>
      </c>
      <c r="Q21" s="592"/>
      <c r="R21" s="550" t="s">
        <v>277</v>
      </c>
      <c r="X21" s="412">
        <v>12.6</v>
      </c>
      <c r="Y21" s="546" t="s">
        <v>252</v>
      </c>
    </row>
    <row r="22" spans="1:25" s="11" customFormat="1" ht="15.05" customHeight="1" x14ac:dyDescent="0.2">
      <c r="A22" s="450" t="s">
        <v>458</v>
      </c>
      <c r="B22" s="590" t="s">
        <v>397</v>
      </c>
      <c r="C22" s="590"/>
      <c r="D22" s="590"/>
      <c r="E22" s="414"/>
      <c r="F22" s="414"/>
      <c r="G22" s="371">
        <v>12</v>
      </c>
      <c r="H22" s="376">
        <v>14.5</v>
      </c>
      <c r="I22" s="372" t="s">
        <v>131</v>
      </c>
      <c r="J22" s="415">
        <v>50</v>
      </c>
      <c r="K22" s="602">
        <v>5</v>
      </c>
      <c r="L22" s="603"/>
      <c r="M22" s="582" t="s">
        <v>244</v>
      </c>
      <c r="N22" s="583"/>
      <c r="P22" s="561" t="s">
        <v>231</v>
      </c>
      <c r="Q22" s="562"/>
      <c r="R22" s="423">
        <v>986</v>
      </c>
      <c r="X22" s="412">
        <v>10.5</v>
      </c>
      <c r="Y22" s="546" t="s">
        <v>252</v>
      </c>
    </row>
    <row r="23" spans="1:25" s="11" customFormat="1" ht="15.05" customHeight="1" thickBot="1" x14ac:dyDescent="0.25">
      <c r="A23" s="451" t="s">
        <v>459</v>
      </c>
      <c r="B23" s="365" t="s">
        <v>398</v>
      </c>
      <c r="C23" s="365"/>
      <c r="D23" s="365"/>
      <c r="E23" s="365"/>
      <c r="F23" s="365"/>
      <c r="G23" s="364">
        <v>10.3</v>
      </c>
      <c r="H23" s="412">
        <v>15.5</v>
      </c>
      <c r="I23" s="370" t="s">
        <v>131</v>
      </c>
      <c r="J23" s="416">
        <v>50</v>
      </c>
      <c r="K23" s="600">
        <v>5</v>
      </c>
      <c r="L23" s="601"/>
      <c r="M23" s="571" t="s">
        <v>391</v>
      </c>
      <c r="N23" s="572"/>
      <c r="P23" s="561" t="s">
        <v>143</v>
      </c>
      <c r="Q23" s="562"/>
      <c r="R23" s="423">
        <v>785</v>
      </c>
      <c r="X23" s="460">
        <v>15.5</v>
      </c>
      <c r="Y23" s="547" t="s">
        <v>252</v>
      </c>
    </row>
    <row r="24" spans="1:25" s="11" customFormat="1" ht="15.05" customHeight="1" x14ac:dyDescent="0.2">
      <c r="A24" s="451" t="s">
        <v>460</v>
      </c>
      <c r="B24" s="366" t="s">
        <v>399</v>
      </c>
      <c r="C24" s="366"/>
      <c r="D24" s="366"/>
      <c r="E24" s="366"/>
      <c r="F24" s="366"/>
      <c r="G24" s="367">
        <v>9.6999999999999993</v>
      </c>
      <c r="H24" s="412">
        <v>13.9</v>
      </c>
      <c r="I24" s="370" t="s">
        <v>252</v>
      </c>
      <c r="J24" s="416">
        <v>50</v>
      </c>
      <c r="K24" s="600">
        <v>5</v>
      </c>
      <c r="L24" s="601"/>
      <c r="M24" s="571" t="s">
        <v>392</v>
      </c>
      <c r="N24" s="572"/>
      <c r="P24" s="561" t="s">
        <v>232</v>
      </c>
      <c r="Q24" s="562"/>
      <c r="R24" s="423">
        <v>408</v>
      </c>
      <c r="X24" s="486">
        <v>13</v>
      </c>
      <c r="Y24" s="548" t="s">
        <v>133</v>
      </c>
    </row>
    <row r="25" spans="1:25" s="11" customFormat="1" ht="15.05" customHeight="1" x14ac:dyDescent="0.2">
      <c r="A25" s="451" t="s">
        <v>461</v>
      </c>
      <c r="B25" s="366" t="s">
        <v>400</v>
      </c>
      <c r="C25" s="368"/>
      <c r="D25" s="366"/>
      <c r="E25" s="366"/>
      <c r="F25" s="366"/>
      <c r="G25" s="367">
        <v>9.5</v>
      </c>
      <c r="H25" s="369">
        <v>13.3</v>
      </c>
      <c r="I25" s="370" t="s">
        <v>252</v>
      </c>
      <c r="J25" s="416">
        <v>50</v>
      </c>
      <c r="K25" s="613">
        <v>5</v>
      </c>
      <c r="L25" s="614"/>
      <c r="M25" s="571" t="s">
        <v>393</v>
      </c>
      <c r="N25" s="572"/>
      <c r="P25" s="561" t="s">
        <v>233</v>
      </c>
      <c r="Q25" s="562"/>
      <c r="R25" s="423">
        <v>563</v>
      </c>
      <c r="X25" s="417">
        <f>15-(0.3*(G11*12000))</f>
        <v>15</v>
      </c>
      <c r="Y25" s="546"/>
    </row>
    <row r="26" spans="1:25" s="11" customFormat="1" ht="15.05" customHeight="1" x14ac:dyDescent="0.2">
      <c r="A26" s="451" t="s">
        <v>462</v>
      </c>
      <c r="B26" s="366" t="s">
        <v>401</v>
      </c>
      <c r="C26" s="366"/>
      <c r="D26" s="366"/>
      <c r="E26" s="366"/>
      <c r="F26" s="366"/>
      <c r="G26" s="367">
        <v>9.6999999999999993</v>
      </c>
      <c r="H26" s="412">
        <v>12.6</v>
      </c>
      <c r="I26" s="370" t="s">
        <v>252</v>
      </c>
      <c r="J26" s="416">
        <v>50</v>
      </c>
      <c r="K26" s="600">
        <v>5</v>
      </c>
      <c r="L26" s="601"/>
      <c r="M26" s="571" t="s">
        <v>394</v>
      </c>
      <c r="N26" s="572"/>
      <c r="P26" s="561" t="s">
        <v>144</v>
      </c>
      <c r="Q26" s="562"/>
      <c r="R26" s="423">
        <v>865</v>
      </c>
      <c r="X26" s="369">
        <v>11.3</v>
      </c>
      <c r="Y26" s="546" t="s">
        <v>133</v>
      </c>
    </row>
    <row r="27" spans="1:25" s="11" customFormat="1" ht="15.05" customHeight="1" x14ac:dyDescent="0.2">
      <c r="A27" s="451" t="s">
        <v>463</v>
      </c>
      <c r="B27" s="366" t="s">
        <v>402</v>
      </c>
      <c r="C27" s="366"/>
      <c r="D27" s="366"/>
      <c r="E27" s="366"/>
      <c r="F27" s="366"/>
      <c r="G27" s="367">
        <v>9.6999999999999993</v>
      </c>
      <c r="H27" s="412">
        <v>10.5</v>
      </c>
      <c r="I27" s="370" t="s">
        <v>252</v>
      </c>
      <c r="J27" s="416">
        <v>50</v>
      </c>
      <c r="K27" s="600">
        <v>5</v>
      </c>
      <c r="L27" s="601"/>
      <c r="M27" s="571" t="s">
        <v>395</v>
      </c>
      <c r="N27" s="572"/>
      <c r="P27" s="561" t="s">
        <v>145</v>
      </c>
      <c r="Q27" s="562"/>
      <c r="R27" s="423">
        <v>1298</v>
      </c>
      <c r="X27" s="460">
        <v>10.5</v>
      </c>
      <c r="Y27" s="547" t="s">
        <v>133</v>
      </c>
    </row>
    <row r="28" spans="1:25" s="11" customFormat="1" ht="15.05" customHeight="1" thickBot="1" x14ac:dyDescent="0.25">
      <c r="A28" s="480" t="s">
        <v>464</v>
      </c>
      <c r="B28" s="365" t="s">
        <v>403</v>
      </c>
      <c r="C28" s="481"/>
      <c r="D28" s="365"/>
      <c r="E28" s="365"/>
      <c r="F28" s="365"/>
      <c r="G28" s="364">
        <v>9.1999999999999993</v>
      </c>
      <c r="H28" s="460">
        <v>15.5</v>
      </c>
      <c r="I28" s="461" t="s">
        <v>252</v>
      </c>
      <c r="J28" s="462">
        <v>50</v>
      </c>
      <c r="K28" s="609">
        <v>5</v>
      </c>
      <c r="L28" s="610"/>
      <c r="M28" s="569" t="s">
        <v>396</v>
      </c>
      <c r="N28" s="570"/>
      <c r="P28" s="561" t="s">
        <v>234</v>
      </c>
      <c r="Q28" s="562"/>
      <c r="R28" s="423">
        <v>754</v>
      </c>
      <c r="X28" s="417" t="s">
        <v>411</v>
      </c>
      <c r="Y28" s="546"/>
    </row>
    <row r="29" spans="1:25" s="204" customFormat="1" ht="15.05" customHeight="1" thickBot="1" x14ac:dyDescent="0.25">
      <c r="A29" s="482" t="s">
        <v>465</v>
      </c>
      <c r="B29" s="483" t="s">
        <v>375</v>
      </c>
      <c r="C29" s="484"/>
      <c r="D29" s="484"/>
      <c r="E29" s="484"/>
      <c r="F29" s="484"/>
      <c r="G29" s="485"/>
      <c r="H29" s="486">
        <v>13</v>
      </c>
      <c r="I29" s="467" t="s">
        <v>133</v>
      </c>
      <c r="J29" s="468">
        <v>50</v>
      </c>
      <c r="K29" s="607">
        <v>5</v>
      </c>
      <c r="L29" s="608"/>
      <c r="M29" s="573" t="s">
        <v>404</v>
      </c>
      <c r="N29" s="574"/>
      <c r="P29" s="561" t="s">
        <v>235</v>
      </c>
      <c r="Q29" s="562"/>
      <c r="R29" s="423">
        <v>589</v>
      </c>
      <c r="X29" s="488">
        <v>9.5</v>
      </c>
      <c r="Y29" s="549" t="s">
        <v>133</v>
      </c>
    </row>
    <row r="30" spans="1:25" s="204" customFormat="1" ht="15.05" customHeight="1" x14ac:dyDescent="0.2">
      <c r="A30" s="453" t="s">
        <v>466</v>
      </c>
      <c r="B30" s="366" t="s">
        <v>376</v>
      </c>
      <c r="C30" s="366"/>
      <c r="D30" s="366"/>
      <c r="E30" s="366"/>
      <c r="F30" s="366"/>
      <c r="G30" s="367"/>
      <c r="H30" s="417" t="s">
        <v>421</v>
      </c>
      <c r="I30" s="370"/>
      <c r="J30" s="416">
        <v>50</v>
      </c>
      <c r="K30" s="600">
        <v>5</v>
      </c>
      <c r="L30" s="606"/>
      <c r="M30" s="567" t="s">
        <v>412</v>
      </c>
      <c r="N30" s="568"/>
      <c r="P30" s="561" t="s">
        <v>236</v>
      </c>
      <c r="Q30" s="562"/>
      <c r="R30" s="423">
        <v>446</v>
      </c>
      <c r="X30" s="466">
        <v>13.3</v>
      </c>
      <c r="Y30" s="548" t="s">
        <v>133</v>
      </c>
    </row>
    <row r="31" spans="1:25" s="11" customFormat="1" ht="15.05" customHeight="1" x14ac:dyDescent="0.2">
      <c r="A31" s="454" t="s">
        <v>467</v>
      </c>
      <c r="B31" s="366" t="s">
        <v>377</v>
      </c>
      <c r="C31" s="366"/>
      <c r="D31" s="366"/>
      <c r="E31" s="366"/>
      <c r="F31" s="366"/>
      <c r="G31" s="367">
        <v>10</v>
      </c>
      <c r="H31" s="369">
        <v>11.3</v>
      </c>
      <c r="I31" s="370" t="s">
        <v>133</v>
      </c>
      <c r="J31" s="416">
        <v>50</v>
      </c>
      <c r="K31" s="600">
        <v>5</v>
      </c>
      <c r="L31" s="606"/>
      <c r="M31" s="567" t="s">
        <v>405</v>
      </c>
      <c r="N31" s="568"/>
      <c r="P31" s="561" t="s">
        <v>237</v>
      </c>
      <c r="Q31" s="562"/>
      <c r="R31" s="423">
        <v>651</v>
      </c>
      <c r="X31" s="565" t="s">
        <v>416</v>
      </c>
      <c r="Y31" s="566"/>
    </row>
    <row r="32" spans="1:25" s="11" customFormat="1" ht="15.05" customHeight="1" x14ac:dyDescent="0.2">
      <c r="A32" s="459" t="s">
        <v>468</v>
      </c>
      <c r="B32" s="448" t="s">
        <v>378</v>
      </c>
      <c r="C32" s="365"/>
      <c r="D32" s="365"/>
      <c r="E32" s="365"/>
      <c r="F32" s="365"/>
      <c r="G32" s="364">
        <v>10</v>
      </c>
      <c r="H32" s="460">
        <v>10.5</v>
      </c>
      <c r="I32" s="461" t="s">
        <v>133</v>
      </c>
      <c r="J32" s="462">
        <v>50</v>
      </c>
      <c r="K32" s="613">
        <v>5</v>
      </c>
      <c r="L32" s="617"/>
      <c r="M32" s="567" t="s">
        <v>406</v>
      </c>
      <c r="N32" s="568"/>
      <c r="P32" s="561" t="s">
        <v>238</v>
      </c>
      <c r="Q32" s="562"/>
      <c r="R32" s="423">
        <v>1263</v>
      </c>
      <c r="X32" s="477">
        <v>11.3</v>
      </c>
      <c r="Y32" s="545" t="s">
        <v>133</v>
      </c>
    </row>
    <row r="33" spans="1:25" s="11" customFormat="1" ht="15.05" customHeight="1" x14ac:dyDescent="0.2">
      <c r="A33" s="452" t="s">
        <v>469</v>
      </c>
      <c r="B33" s="366" t="s">
        <v>379</v>
      </c>
      <c r="C33" s="391"/>
      <c r="D33" s="391"/>
      <c r="E33" s="391"/>
      <c r="F33" s="391"/>
      <c r="G33" s="413"/>
      <c r="H33" s="417" t="s">
        <v>422</v>
      </c>
      <c r="I33" s="370"/>
      <c r="J33" s="416">
        <v>50</v>
      </c>
      <c r="K33" s="615">
        <v>5</v>
      </c>
      <c r="L33" s="616"/>
      <c r="M33" s="567" t="s">
        <v>413</v>
      </c>
      <c r="N33" s="568"/>
      <c r="O33" s="18"/>
      <c r="P33" s="561" t="s">
        <v>239</v>
      </c>
      <c r="Q33" s="562"/>
      <c r="R33" s="423">
        <v>652</v>
      </c>
      <c r="X33" s="417">
        <v>10.5</v>
      </c>
      <c r="Y33" s="546" t="s">
        <v>133</v>
      </c>
    </row>
    <row r="34" spans="1:25" s="11" customFormat="1" ht="15.05" customHeight="1" thickBot="1" x14ac:dyDescent="0.25">
      <c r="A34" s="487" t="s">
        <v>470</v>
      </c>
      <c r="B34" s="479" t="s">
        <v>380</v>
      </c>
      <c r="C34" s="469"/>
      <c r="D34" s="469"/>
      <c r="E34" s="469"/>
      <c r="F34" s="469"/>
      <c r="G34" s="470"/>
      <c r="H34" s="488">
        <v>9.5</v>
      </c>
      <c r="I34" s="472" t="s">
        <v>133</v>
      </c>
      <c r="J34" s="473">
        <v>50</v>
      </c>
      <c r="K34" s="611">
        <v>5</v>
      </c>
      <c r="L34" s="612"/>
      <c r="M34" s="620" t="s">
        <v>407</v>
      </c>
      <c r="N34" s="621"/>
      <c r="O34" s="18"/>
      <c r="P34" s="561" t="s">
        <v>240</v>
      </c>
      <c r="Q34" s="562"/>
      <c r="R34" s="423">
        <v>686</v>
      </c>
      <c r="X34" s="565" t="s">
        <v>411</v>
      </c>
      <c r="Y34" s="566"/>
    </row>
    <row r="35" spans="1:25" s="11" customFormat="1" ht="15.05" customHeight="1" thickBot="1" x14ac:dyDescent="0.25">
      <c r="A35" s="463" t="s">
        <v>471</v>
      </c>
      <c r="B35" s="478" t="s">
        <v>381</v>
      </c>
      <c r="C35" s="464"/>
      <c r="D35" s="464"/>
      <c r="E35" s="464"/>
      <c r="F35" s="464"/>
      <c r="G35" s="465"/>
      <c r="H35" s="466">
        <v>13.3</v>
      </c>
      <c r="I35" s="467" t="s">
        <v>133</v>
      </c>
      <c r="J35" s="468">
        <v>50</v>
      </c>
      <c r="K35" s="607">
        <v>5</v>
      </c>
      <c r="L35" s="608"/>
      <c r="M35" s="573" t="s">
        <v>404</v>
      </c>
      <c r="N35" s="574"/>
      <c r="P35" s="561" t="s">
        <v>241</v>
      </c>
      <c r="Q35" s="562"/>
      <c r="R35" s="423">
        <v>574</v>
      </c>
      <c r="X35" s="471">
        <v>9.5</v>
      </c>
      <c r="Y35" s="549" t="s">
        <v>133</v>
      </c>
    </row>
    <row r="36" spans="1:25" s="11" customFormat="1" ht="15.05" customHeight="1" thickBot="1" x14ac:dyDescent="0.25">
      <c r="A36" s="474" t="s">
        <v>472</v>
      </c>
      <c r="B36" s="366" t="s">
        <v>382</v>
      </c>
      <c r="C36" s="366"/>
      <c r="D36" s="366"/>
      <c r="E36" s="366"/>
      <c r="F36" s="366"/>
      <c r="G36" s="367"/>
      <c r="H36" s="565" t="s">
        <v>423</v>
      </c>
      <c r="I36" s="624"/>
      <c r="J36" s="416">
        <v>50</v>
      </c>
      <c r="K36" s="625">
        <v>5</v>
      </c>
      <c r="L36" s="626"/>
      <c r="M36" s="567" t="s">
        <v>414</v>
      </c>
      <c r="N36" s="568"/>
      <c r="P36" s="622" t="s">
        <v>242</v>
      </c>
      <c r="Q36" s="623"/>
      <c r="R36" s="424">
        <v>409</v>
      </c>
    </row>
    <row r="37" spans="1:25" s="99" customFormat="1" ht="15.05" customHeight="1" x14ac:dyDescent="0.2">
      <c r="A37" s="474" t="s">
        <v>473</v>
      </c>
      <c r="B37" s="475" t="s">
        <v>383</v>
      </c>
      <c r="C37" s="457"/>
      <c r="D37" s="457"/>
      <c r="E37" s="457"/>
      <c r="F37" s="457"/>
      <c r="G37" s="476"/>
      <c r="H37" s="477">
        <v>11.3</v>
      </c>
      <c r="I37" s="372" t="s">
        <v>133</v>
      </c>
      <c r="J37" s="415">
        <v>50</v>
      </c>
      <c r="K37" s="627">
        <v>5</v>
      </c>
      <c r="L37" s="628"/>
      <c r="M37" s="567" t="s">
        <v>405</v>
      </c>
      <c r="N37" s="568"/>
      <c r="P37" s="18"/>
      <c r="Q37"/>
      <c r="R37"/>
    </row>
    <row r="38" spans="1:25" s="11" customFormat="1" ht="15.05" customHeight="1" x14ac:dyDescent="0.2">
      <c r="A38" s="453" t="s">
        <v>474</v>
      </c>
      <c r="B38" s="365" t="s">
        <v>384</v>
      </c>
      <c r="C38" s="366"/>
      <c r="D38" s="366"/>
      <c r="E38" s="366"/>
      <c r="F38" s="366"/>
      <c r="G38" s="367"/>
      <c r="H38" s="417">
        <v>10.5</v>
      </c>
      <c r="I38" s="370" t="s">
        <v>133</v>
      </c>
      <c r="J38" s="416">
        <v>50</v>
      </c>
      <c r="K38" s="600">
        <v>5</v>
      </c>
      <c r="L38" s="606"/>
      <c r="M38" s="567" t="s">
        <v>408</v>
      </c>
      <c r="N38" s="568"/>
      <c r="P38"/>
      <c r="Q38"/>
    </row>
    <row r="39" spans="1:25" s="11" customFormat="1" ht="15.05" customHeight="1" x14ac:dyDescent="0.2">
      <c r="A39" s="454" t="s">
        <v>475</v>
      </c>
      <c r="B39" s="366" t="s">
        <v>385</v>
      </c>
      <c r="C39" s="366"/>
      <c r="D39" s="366"/>
      <c r="E39" s="366"/>
      <c r="F39" s="366"/>
      <c r="G39" s="367"/>
      <c r="H39" s="565" t="s">
        <v>422</v>
      </c>
      <c r="I39" s="624"/>
      <c r="J39" s="416">
        <v>50</v>
      </c>
      <c r="K39" s="600">
        <v>5</v>
      </c>
      <c r="L39" s="606"/>
      <c r="M39" s="567" t="s">
        <v>415</v>
      </c>
      <c r="N39" s="568"/>
    </row>
    <row r="40" spans="1:25" s="11" customFormat="1" ht="15.05" customHeight="1" thickBot="1" x14ac:dyDescent="0.25">
      <c r="A40" s="455" t="s">
        <v>476</v>
      </c>
      <c r="B40" s="469" t="s">
        <v>386</v>
      </c>
      <c r="C40" s="469"/>
      <c r="D40" s="469"/>
      <c r="E40" s="469"/>
      <c r="F40" s="469"/>
      <c r="G40" s="470"/>
      <c r="H40" s="471">
        <v>9.5</v>
      </c>
      <c r="I40" s="472" t="s">
        <v>133</v>
      </c>
      <c r="J40" s="473">
        <v>50</v>
      </c>
      <c r="K40" s="611">
        <v>5</v>
      </c>
      <c r="L40" s="612"/>
      <c r="M40" s="620" t="s">
        <v>409</v>
      </c>
      <c r="N40" s="621"/>
      <c r="P40"/>
      <c r="Q40"/>
      <c r="R40"/>
    </row>
    <row r="41" spans="1:25" s="11" customFormat="1" x14ac:dyDescent="0.2">
      <c r="B41" s="120"/>
      <c r="C41" s="120"/>
      <c r="D41" s="120"/>
      <c r="E41" s="120"/>
      <c r="F41" s="119"/>
      <c r="G41" s="119"/>
      <c r="H41" s="119"/>
      <c r="I41" s="119"/>
      <c r="J41" s="119"/>
      <c r="K41" s="119"/>
      <c r="M41"/>
      <c r="N41"/>
      <c r="R41"/>
      <c r="S41"/>
      <c r="T41"/>
    </row>
    <row r="42" spans="1:25" x14ac:dyDescent="0.2">
      <c r="A42" s="377" t="s">
        <v>254</v>
      </c>
      <c r="B42" s="204"/>
      <c r="C42" s="204"/>
      <c r="D42" s="204"/>
      <c r="E42" s="204"/>
      <c r="F42" s="204"/>
      <c r="G42" s="204"/>
      <c r="H42" s="204"/>
      <c r="I42" s="204"/>
      <c r="J42" s="204"/>
      <c r="K42" s="204"/>
    </row>
    <row r="43" spans="1:25" x14ac:dyDescent="0.2">
      <c r="A43" s="209" t="s">
        <v>255</v>
      </c>
      <c r="B43" s="204"/>
      <c r="C43" s="204"/>
      <c r="D43" s="204"/>
      <c r="E43" s="204"/>
      <c r="F43" s="204"/>
      <c r="G43" s="204"/>
      <c r="H43" s="204"/>
      <c r="I43" s="204"/>
      <c r="J43" s="204"/>
      <c r="K43" s="204"/>
    </row>
    <row r="44" spans="1:25" x14ac:dyDescent="0.2">
      <c r="A44" s="205" t="s">
        <v>431</v>
      </c>
      <c r="B44" s="204"/>
      <c r="C44" s="204"/>
      <c r="D44" s="204"/>
      <c r="E44" s="204"/>
      <c r="F44" s="204"/>
      <c r="G44" s="204"/>
      <c r="H44" s="204"/>
      <c r="I44" s="204"/>
      <c r="J44" s="204"/>
      <c r="K44" s="204"/>
    </row>
    <row r="45" spans="1:25" ht="12.8" customHeight="1" x14ac:dyDescent="0.2">
      <c r="A45" s="618" t="s">
        <v>417</v>
      </c>
      <c r="B45" s="618"/>
      <c r="C45" s="618"/>
      <c r="D45" s="618"/>
      <c r="E45" s="618"/>
      <c r="F45" s="618"/>
      <c r="G45" s="618"/>
      <c r="H45" s="618"/>
      <c r="I45" s="618"/>
      <c r="J45" s="618"/>
      <c r="K45" s="618"/>
      <c r="L45" s="619"/>
      <c r="M45" s="619"/>
      <c r="N45" s="619"/>
      <c r="O45" s="619"/>
      <c r="P45" s="619"/>
    </row>
    <row r="46" spans="1:25" x14ac:dyDescent="0.2">
      <c r="A46" s="618"/>
      <c r="B46" s="618"/>
      <c r="C46" s="618"/>
      <c r="D46" s="618"/>
      <c r="E46" s="618"/>
      <c r="F46" s="618"/>
      <c r="G46" s="618"/>
      <c r="H46" s="618"/>
      <c r="I46" s="618"/>
      <c r="J46" s="618"/>
      <c r="K46" s="618"/>
      <c r="L46" s="619"/>
      <c r="M46" s="619"/>
      <c r="N46" s="619"/>
      <c r="O46" s="619"/>
      <c r="P46" s="619"/>
    </row>
    <row r="47" spans="1:25" x14ac:dyDescent="0.2">
      <c r="A47" s="377" t="s">
        <v>256</v>
      </c>
      <c r="B47" s="119"/>
      <c r="C47" s="119"/>
      <c r="D47" s="119"/>
      <c r="E47" s="119"/>
      <c r="F47" s="119"/>
      <c r="G47" s="119"/>
      <c r="H47" s="119"/>
      <c r="I47" s="119"/>
      <c r="J47" s="119"/>
      <c r="K47" s="119"/>
    </row>
    <row r="64" spans="14:14" x14ac:dyDescent="0.2">
      <c r="N64" s="78"/>
    </row>
    <row r="65" spans="1:17" x14ac:dyDescent="0.2">
      <c r="L65" s="78"/>
    </row>
    <row r="66" spans="1:17" x14ac:dyDescent="0.2">
      <c r="A66" s="78"/>
      <c r="B66" s="78"/>
      <c r="C66" s="78"/>
      <c r="E66" s="78"/>
      <c r="G66" s="78"/>
      <c r="H66" s="78"/>
    </row>
    <row r="67" spans="1:17" x14ac:dyDescent="0.2">
      <c r="A67" s="79"/>
      <c r="B67" s="78"/>
      <c r="E67" s="78"/>
      <c r="H67" s="78"/>
    </row>
    <row r="68" spans="1:17" x14ac:dyDescent="0.2">
      <c r="A68" s="80"/>
      <c r="E68" s="78"/>
      <c r="G68" s="81"/>
      <c r="H68" s="78"/>
    </row>
    <row r="69" spans="1:17" x14ac:dyDescent="0.2">
      <c r="A69" s="80"/>
      <c r="E69" s="78"/>
      <c r="G69" s="81"/>
      <c r="H69" s="78"/>
      <c r="Q69" s="78"/>
    </row>
    <row r="70" spans="1:17" x14ac:dyDescent="0.2">
      <c r="A70" s="80"/>
      <c r="E70" s="78"/>
      <c r="G70" s="81"/>
      <c r="H70" s="78"/>
    </row>
    <row r="71" spans="1:17" x14ac:dyDescent="0.2">
      <c r="A71" s="80"/>
      <c r="E71" s="78"/>
      <c r="G71" s="81"/>
    </row>
    <row r="72" spans="1:17" x14ac:dyDescent="0.2">
      <c r="A72" s="80"/>
      <c r="E72" s="78"/>
    </row>
    <row r="73" spans="1:17" x14ac:dyDescent="0.2">
      <c r="A73" s="80"/>
      <c r="E73" s="78"/>
    </row>
    <row r="74" spans="1:17" x14ac:dyDescent="0.2">
      <c r="A74" s="80"/>
      <c r="E74" s="78"/>
    </row>
    <row r="75" spans="1:17" x14ac:dyDescent="0.2">
      <c r="A75" s="80"/>
      <c r="E75" s="78"/>
    </row>
    <row r="76" spans="1:17" x14ac:dyDescent="0.2">
      <c r="A76" s="80"/>
      <c r="E76" s="78"/>
    </row>
    <row r="77" spans="1:17" x14ac:dyDescent="0.2">
      <c r="A77" s="80"/>
      <c r="E77" s="78"/>
    </row>
    <row r="78" spans="1:17" x14ac:dyDescent="0.2">
      <c r="A78" s="80"/>
      <c r="E78" s="78"/>
    </row>
    <row r="79" spans="1:17" x14ac:dyDescent="0.2">
      <c r="A79" s="80"/>
      <c r="E79" s="78"/>
    </row>
    <row r="80" spans="1:17" x14ac:dyDescent="0.2">
      <c r="A80" s="80"/>
      <c r="E80" s="78"/>
    </row>
    <row r="81" spans="1:5" x14ac:dyDescent="0.2">
      <c r="A81" s="80"/>
      <c r="E81" s="78"/>
    </row>
    <row r="82" spans="1:5" x14ac:dyDescent="0.2">
      <c r="A82" s="80"/>
      <c r="E82" s="78"/>
    </row>
    <row r="83" spans="1:5" x14ac:dyDescent="0.2">
      <c r="A83" s="80"/>
      <c r="E83" s="78"/>
    </row>
    <row r="84" spans="1:5" x14ac:dyDescent="0.2">
      <c r="A84" s="80"/>
      <c r="E84" s="78"/>
    </row>
    <row r="85" spans="1:5" x14ac:dyDescent="0.2">
      <c r="A85" s="80"/>
      <c r="E85" s="78"/>
    </row>
    <row r="86" spans="1:5" x14ac:dyDescent="0.2">
      <c r="A86" s="80"/>
      <c r="E86" s="78"/>
    </row>
    <row r="87" spans="1:5" x14ac:dyDescent="0.2">
      <c r="A87" s="80"/>
      <c r="E87" s="78"/>
    </row>
    <row r="88" spans="1:5" x14ac:dyDescent="0.2">
      <c r="A88" s="80"/>
      <c r="E88" s="78"/>
    </row>
    <row r="89" spans="1:5" x14ac:dyDescent="0.2">
      <c r="A89" s="80"/>
      <c r="E89" s="78"/>
    </row>
    <row r="90" spans="1:5" x14ac:dyDescent="0.2">
      <c r="A90" s="80"/>
      <c r="E90" s="78"/>
    </row>
    <row r="91" spans="1:5" x14ac:dyDescent="0.2">
      <c r="A91" s="80"/>
      <c r="E91" s="78"/>
    </row>
    <row r="92" spans="1:5" x14ac:dyDescent="0.2">
      <c r="A92" s="80"/>
      <c r="E92" s="78"/>
    </row>
    <row r="93" spans="1:5" x14ac:dyDescent="0.2">
      <c r="A93" s="80"/>
      <c r="E93" s="78"/>
    </row>
    <row r="94" spans="1:5" x14ac:dyDescent="0.2">
      <c r="A94" s="80"/>
      <c r="E94" s="78"/>
    </row>
    <row r="95" spans="1:5" x14ac:dyDescent="0.2">
      <c r="A95" s="80"/>
      <c r="E95" s="78"/>
    </row>
    <row r="96" spans="1:5" x14ac:dyDescent="0.2">
      <c r="A96" s="80"/>
      <c r="E96" s="78"/>
    </row>
    <row r="97" spans="1:5" x14ac:dyDescent="0.2">
      <c r="A97" s="80"/>
      <c r="E97" s="78"/>
    </row>
    <row r="98" spans="1:5" x14ac:dyDescent="0.2">
      <c r="A98" s="80"/>
      <c r="E98" s="78"/>
    </row>
    <row r="99" spans="1:5" x14ac:dyDescent="0.2">
      <c r="A99" s="80"/>
      <c r="E99" s="78"/>
    </row>
    <row r="100" spans="1:5" x14ac:dyDescent="0.2">
      <c r="A100" s="80"/>
      <c r="E100" s="78"/>
    </row>
    <row r="101" spans="1:5" x14ac:dyDescent="0.2">
      <c r="A101" s="80"/>
      <c r="E101" s="78"/>
    </row>
    <row r="102" spans="1:5" x14ac:dyDescent="0.2">
      <c r="A102" s="80"/>
      <c r="E102" s="78"/>
    </row>
    <row r="103" spans="1:5" x14ac:dyDescent="0.2">
      <c r="A103" s="80"/>
      <c r="E103" s="78"/>
    </row>
    <row r="104" spans="1:5" x14ac:dyDescent="0.2">
      <c r="A104" s="79"/>
      <c r="E104" s="78"/>
    </row>
    <row r="105" spans="1:5" x14ac:dyDescent="0.2">
      <c r="E105" s="78"/>
    </row>
    <row r="106" spans="1:5" x14ac:dyDescent="0.2">
      <c r="E106" s="78"/>
    </row>
    <row r="107" spans="1:5" x14ac:dyDescent="0.2">
      <c r="E107" s="78"/>
    </row>
    <row r="108" spans="1:5" x14ac:dyDescent="0.2">
      <c r="E108" s="78"/>
    </row>
    <row r="109" spans="1:5" x14ac:dyDescent="0.2">
      <c r="E109" s="78"/>
    </row>
    <row r="110" spans="1:5" x14ac:dyDescent="0.2">
      <c r="E110" s="78"/>
    </row>
    <row r="111" spans="1:5" x14ac:dyDescent="0.2">
      <c r="E111" s="78"/>
    </row>
    <row r="112" spans="1:5"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2:5" x14ac:dyDescent="0.2">
      <c r="E145" s="78"/>
    </row>
    <row r="146" spans="2:5" x14ac:dyDescent="0.2">
      <c r="E146" s="78"/>
    </row>
    <row r="147" spans="2:5" x14ac:dyDescent="0.2">
      <c r="E147" s="78"/>
    </row>
    <row r="148" spans="2:5" x14ac:dyDescent="0.2">
      <c r="B148" s="78"/>
      <c r="E148" s="78"/>
    </row>
    <row r="149" spans="2:5" x14ac:dyDescent="0.2">
      <c r="E149" s="78"/>
    </row>
    <row r="150" spans="2:5" x14ac:dyDescent="0.2">
      <c r="E150" s="78"/>
    </row>
  </sheetData>
  <sheetProtection selectLockedCells="1"/>
  <mergeCells count="71">
    <mergeCell ref="M33:N33"/>
    <mergeCell ref="M38:N38"/>
    <mergeCell ref="K39:L39"/>
    <mergeCell ref="M39:N39"/>
    <mergeCell ref="M40:N40"/>
    <mergeCell ref="M36:N36"/>
    <mergeCell ref="K37:L37"/>
    <mergeCell ref="A45:P46"/>
    <mergeCell ref="M34:N34"/>
    <mergeCell ref="K35:L35"/>
    <mergeCell ref="M35:N35"/>
    <mergeCell ref="M37:N37"/>
    <mergeCell ref="P36:Q36"/>
    <mergeCell ref="P35:Q35"/>
    <mergeCell ref="P34:Q34"/>
    <mergeCell ref="H36:I36"/>
    <mergeCell ref="H39:I39"/>
    <mergeCell ref="K40:L40"/>
    <mergeCell ref="K36:L36"/>
    <mergeCell ref="K38:L38"/>
    <mergeCell ref="K30:L30"/>
    <mergeCell ref="K29:L29"/>
    <mergeCell ref="K28:L28"/>
    <mergeCell ref="K34:L34"/>
    <mergeCell ref="K25:L25"/>
    <mergeCell ref="K33:L33"/>
    <mergeCell ref="K26:L26"/>
    <mergeCell ref="K27:L27"/>
    <mergeCell ref="K32:L32"/>
    <mergeCell ref="K31:L31"/>
    <mergeCell ref="M24:N24"/>
    <mergeCell ref="P22:Q22"/>
    <mergeCell ref="D8:N8"/>
    <mergeCell ref="O8:T8"/>
    <mergeCell ref="M21:N21"/>
    <mergeCell ref="B22:D22"/>
    <mergeCell ref="P21:Q21"/>
    <mergeCell ref="R20:T20"/>
    <mergeCell ref="B21:G21"/>
    <mergeCell ref="K21:L21"/>
    <mergeCell ref="K24:L24"/>
    <mergeCell ref="K23:L23"/>
    <mergeCell ref="K22:L22"/>
    <mergeCell ref="Q18:R19"/>
    <mergeCell ref="A2:T2"/>
    <mergeCell ref="H21:I21"/>
    <mergeCell ref="A8:C8"/>
    <mergeCell ref="M22:N22"/>
    <mergeCell ref="M23:N23"/>
    <mergeCell ref="M32:N32"/>
    <mergeCell ref="M28:N28"/>
    <mergeCell ref="M31:N31"/>
    <mergeCell ref="M25:N25"/>
    <mergeCell ref="P30:Q30"/>
    <mergeCell ref="M30:N30"/>
    <mergeCell ref="M29:N29"/>
    <mergeCell ref="P31:Q31"/>
    <mergeCell ref="P29:Q29"/>
    <mergeCell ref="P28:Q28"/>
    <mergeCell ref="P27:Q27"/>
    <mergeCell ref="M26:N26"/>
    <mergeCell ref="M27:N27"/>
    <mergeCell ref="P33:Q33"/>
    <mergeCell ref="P32:Q32"/>
    <mergeCell ref="X16:Y16"/>
    <mergeCell ref="X31:Y31"/>
    <mergeCell ref="X34:Y34"/>
    <mergeCell ref="P26:Q26"/>
    <mergeCell ref="P25:Q25"/>
    <mergeCell ref="P24:Q24"/>
    <mergeCell ref="P23:Q23"/>
  </mergeCells>
  <phoneticPr fontId="5" type="noConversion"/>
  <dataValidations count="6">
    <dataValidation allowBlank="1" showInputMessage="1" prompt="Current equipment efficiencies should be used if replacing working equipment. If efficiencies are unknown, use Baseline efficiency from the Yellow box in table 1 for New Construction and unknown retrofit efficiencies" sqref="B11"/>
    <dataValidation type="decimal" operator="greaterThanOrEqual" allowBlank="1" showErrorMessage="1" errorTitle="Invalid Efficiency Rating" error="Unit SEER or EER must be equal or greater than Minimum Efficiency." sqref="J11:J17">
      <formula1>I11</formula1>
    </dataValidation>
    <dataValidation type="whole" operator="greaterThanOrEqual" allowBlank="1" showErrorMessage="1" errorTitle="Unit Quantity" error="Please enter a valid number of units!" sqref="K11:K17">
      <formula1>0</formula1>
    </dataValidation>
    <dataValidation type="whole" operator="greaterThanOrEqual" allowBlank="1" showErrorMessage="1" errorTitle="Invalid Quantity" error="Please enter the quantity of units -- a value equal to or greater than zero!" sqref="C11:C17">
      <formula1>0</formula1>
    </dataValidation>
    <dataValidation allowBlank="1" showInputMessage="1" prompt="Use Baseline efficiency from the Yellow box in table 1 for New Construction and unknown Retrofit Efficiencies" sqref="B12:B17"/>
    <dataValidation type="list" allowBlank="1" showInputMessage="1" showErrorMessage="1" sqref="D11:D17">
      <formula1>$A$22:$A$40</formula1>
    </dataValidation>
  </dataValidations>
  <printOptions horizontalCentered="1"/>
  <pageMargins left="0.2" right="0" top="0" bottom="0" header="0" footer="0"/>
  <pageSetup scale="58" orientation="landscape" r:id="rId1"/>
  <headerFooter alignWithMargins="0"/>
  <colBreaks count="1" manualBreakCount="1">
    <brk id="15"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3221" r:id="rId4" name="Option Button 149">
              <controlPr locked="0" defaultSize="0" autoFill="0" autoLine="0" autoPict="0">
                <anchor moveWithCells="1">
                  <from>
                    <xdr:col>2</xdr:col>
                    <xdr:colOff>49876</xdr:colOff>
                    <xdr:row>3</xdr:row>
                    <xdr:rowOff>0</xdr:rowOff>
                  </from>
                  <to>
                    <xdr:col>3</xdr:col>
                    <xdr:colOff>0</xdr:colOff>
                    <xdr:row>4</xdr:row>
                    <xdr:rowOff>74815</xdr:rowOff>
                  </to>
                </anchor>
              </controlPr>
            </control>
          </mc:Choice>
        </mc:AlternateContent>
        <mc:AlternateContent xmlns:mc="http://schemas.openxmlformats.org/markup-compatibility/2006">
          <mc:Choice Requires="x14">
            <control shapeId="3222" r:id="rId5" name="Option Button 150">
              <controlPr defaultSize="0" autoFill="0" autoLine="0" autoPict="0">
                <anchor moveWithCells="1">
                  <from>
                    <xdr:col>2</xdr:col>
                    <xdr:colOff>49876</xdr:colOff>
                    <xdr:row>3</xdr:row>
                    <xdr:rowOff>108065</xdr:rowOff>
                  </from>
                  <to>
                    <xdr:col>3</xdr:col>
                    <xdr:colOff>0</xdr:colOff>
                    <xdr:row>5</xdr:row>
                    <xdr:rowOff>41564</xdr:rowOff>
                  </to>
                </anchor>
              </controlPr>
            </control>
          </mc:Choice>
        </mc:AlternateContent>
        <mc:AlternateContent xmlns:mc="http://schemas.openxmlformats.org/markup-compatibility/2006">
          <mc:Choice Requires="x14">
            <control shapeId="3231" r:id="rId6" name="Option Button 159">
              <controlPr defaultSize="0" autoFill="0" autoLine="0" autoPict="0">
                <anchor moveWithCells="1">
                  <from>
                    <xdr:col>6</xdr:col>
                    <xdr:colOff>58189</xdr:colOff>
                    <xdr:row>4</xdr:row>
                    <xdr:rowOff>257695</xdr:rowOff>
                  </from>
                  <to>
                    <xdr:col>6</xdr:col>
                    <xdr:colOff>365760</xdr:colOff>
                    <xdr:row>6</xdr:row>
                    <xdr:rowOff>0</xdr:rowOff>
                  </to>
                </anchor>
              </controlPr>
            </control>
          </mc:Choice>
        </mc:AlternateContent>
        <mc:AlternateContent xmlns:mc="http://schemas.openxmlformats.org/markup-compatibility/2006">
          <mc:Choice Requires="x14">
            <control shapeId="3232" r:id="rId7" name="Option Button 160">
              <controlPr defaultSize="0" autoFill="0" autoLine="0" autoPict="0">
                <anchor moveWithCells="1">
                  <from>
                    <xdr:col>6</xdr:col>
                    <xdr:colOff>58189</xdr:colOff>
                    <xdr:row>5</xdr:row>
                    <xdr:rowOff>174567</xdr:rowOff>
                  </from>
                  <to>
                    <xdr:col>6</xdr:col>
                    <xdr:colOff>365760</xdr:colOff>
                    <xdr:row>6</xdr:row>
                    <xdr:rowOff>191193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55"/>
  <sheetViews>
    <sheetView zoomScale="80" zoomScaleNormal="80" workbookViewId="0">
      <selection activeCell="B70" sqref="B70"/>
    </sheetView>
  </sheetViews>
  <sheetFormatPr defaultRowHeight="12.45" x14ac:dyDescent="0.2"/>
  <cols>
    <col min="1" max="1" width="8.125" customWidth="1"/>
    <col min="2" max="2" width="12.25" customWidth="1"/>
    <col min="3" max="3" width="8" customWidth="1"/>
    <col min="4" max="4" width="10.75" customWidth="1"/>
    <col min="5" max="5" width="9.125" customWidth="1"/>
    <col min="6" max="6" width="10.375" customWidth="1"/>
    <col min="7" max="7" width="16" bestFit="1" customWidth="1"/>
    <col min="8" max="8" width="16.75" customWidth="1"/>
    <col min="9" max="9" width="8" customWidth="1"/>
    <col min="10" max="13" width="8.75" customWidth="1"/>
    <col min="14" max="15" width="10.625" customWidth="1"/>
    <col min="16" max="16" width="12.75" customWidth="1"/>
    <col min="17" max="19" width="13.25" customWidth="1"/>
    <col min="20" max="20" width="12.375" customWidth="1"/>
    <col min="21" max="21" width="13.25" customWidth="1"/>
    <col min="22" max="22" width="14.25" customWidth="1"/>
  </cols>
  <sheetData>
    <row r="1" spans="1:25" ht="13.6" customHeight="1" thickBot="1" x14ac:dyDescent="0.25"/>
    <row r="2" spans="1:25" s="2" customFormat="1" ht="20.95" customHeight="1" thickBot="1" x14ac:dyDescent="0.25">
      <c r="A2" s="403" t="s">
        <v>387</v>
      </c>
      <c r="B2" s="404"/>
      <c r="C2" s="404"/>
      <c r="D2" s="404"/>
      <c r="E2" s="404"/>
      <c r="F2" s="404"/>
      <c r="G2" s="404"/>
      <c r="H2" s="404"/>
      <c r="I2" s="404"/>
      <c r="J2" s="404"/>
      <c r="K2" s="404"/>
      <c r="L2" s="404"/>
      <c r="M2" s="404"/>
      <c r="N2" s="404"/>
      <c r="O2" s="404"/>
      <c r="P2" s="404"/>
      <c r="Q2" s="404"/>
      <c r="R2" s="404"/>
      <c r="S2" s="404"/>
      <c r="T2" s="404"/>
      <c r="U2" s="404"/>
      <c r="V2" s="405"/>
      <c r="W2" s="4"/>
      <c r="X2" s="4"/>
    </row>
    <row r="3" spans="1:25" ht="17.2" customHeight="1" x14ac:dyDescent="0.2">
      <c r="A3" s="140" t="s">
        <v>130</v>
      </c>
      <c r="B3" s="89"/>
      <c r="C3" s="89"/>
      <c r="D3" s="692" t="s">
        <v>76</v>
      </c>
      <c r="E3" s="692"/>
      <c r="F3" s="692"/>
      <c r="G3" s="76"/>
      <c r="H3" s="76"/>
      <c r="I3" s="76"/>
      <c r="J3" s="76"/>
      <c r="K3" s="76"/>
      <c r="L3" s="76"/>
      <c r="M3" s="76"/>
      <c r="N3" s="76"/>
      <c r="O3" s="76"/>
      <c r="P3" s="76"/>
      <c r="Q3" s="76"/>
      <c r="R3" s="76"/>
      <c r="S3" s="76"/>
    </row>
    <row r="4" spans="1:25" ht="12.8" customHeight="1" x14ac:dyDescent="0.2">
      <c r="A4" s="89"/>
      <c r="B4" s="92">
        <v>2</v>
      </c>
      <c r="C4" s="89"/>
      <c r="D4" s="693" t="s">
        <v>75</v>
      </c>
      <c r="E4" s="693"/>
      <c r="F4" s="693"/>
      <c r="G4" s="76"/>
      <c r="H4" s="76"/>
      <c r="I4" s="76"/>
      <c r="J4" s="76"/>
      <c r="K4" s="76"/>
      <c r="L4" s="76"/>
      <c r="M4" s="76"/>
      <c r="N4" s="76"/>
      <c r="O4" s="76"/>
      <c r="P4" s="76"/>
      <c r="Q4" s="76"/>
      <c r="R4" s="76"/>
      <c r="S4" s="76"/>
      <c r="T4" s="76"/>
      <c r="U4" s="489">
        <v>43838</v>
      </c>
    </row>
    <row r="5" spans="1:25" ht="16.55" customHeight="1" x14ac:dyDescent="0.2">
      <c r="A5" s="527" t="s">
        <v>418</v>
      </c>
      <c r="B5" s="92"/>
      <c r="C5" s="89"/>
      <c r="D5" s="91"/>
      <c r="E5" s="89"/>
      <c r="F5" s="526" t="s">
        <v>419</v>
      </c>
      <c r="G5" s="76"/>
      <c r="H5" s="76"/>
      <c r="I5" s="76"/>
      <c r="J5" s="76"/>
      <c r="K5" s="76"/>
      <c r="L5" s="76"/>
      <c r="M5" s="76"/>
      <c r="N5" s="76"/>
      <c r="O5" s="76"/>
      <c r="P5" s="76"/>
      <c r="Q5" s="76"/>
      <c r="R5" s="76"/>
      <c r="S5" s="76"/>
      <c r="T5" s="76"/>
    </row>
    <row r="6" spans="1:25" ht="20.3" customHeight="1" thickBot="1" x14ac:dyDescent="0.25">
      <c r="A6" s="89"/>
      <c r="B6" s="92"/>
      <c r="C6" s="89"/>
      <c r="D6" s="91"/>
      <c r="E6" s="89"/>
      <c r="F6" s="526" t="s">
        <v>420</v>
      </c>
      <c r="G6" s="76"/>
      <c r="H6" s="76"/>
      <c r="I6" s="76"/>
      <c r="J6" s="76"/>
      <c r="K6" s="76"/>
      <c r="L6" s="76"/>
      <c r="M6" s="76"/>
      <c r="N6" s="76"/>
      <c r="O6" s="76"/>
      <c r="P6" s="76"/>
      <c r="Q6" s="76"/>
      <c r="R6" s="76"/>
      <c r="S6" s="76"/>
      <c r="T6" s="76"/>
    </row>
    <row r="7" spans="1:25" s="217" customFormat="1" ht="26.2" customHeight="1" thickBot="1" x14ac:dyDescent="0.25">
      <c r="A7" s="492"/>
      <c r="B7" s="697" t="str">
        <f>IF(B4=1,"Base Efficiency","EXISTING SYSTEM                            (if operational)")</f>
        <v>EXISTING SYSTEM                            (if operational)</v>
      </c>
      <c r="C7" s="698"/>
      <c r="D7" s="698"/>
      <c r="E7" s="698"/>
      <c r="F7" s="655" t="s">
        <v>13</v>
      </c>
      <c r="G7" s="656"/>
      <c r="H7" s="656"/>
      <c r="I7" s="656"/>
      <c r="J7" s="656"/>
      <c r="K7" s="656"/>
      <c r="L7" s="656"/>
      <c r="M7" s="656"/>
      <c r="N7" s="656"/>
      <c r="O7" s="656"/>
      <c r="P7" s="656"/>
      <c r="Q7" s="657"/>
      <c r="R7" s="655" t="s">
        <v>14</v>
      </c>
      <c r="S7" s="656"/>
      <c r="T7" s="656"/>
      <c r="U7" s="656"/>
      <c r="V7" s="657"/>
    </row>
    <row r="8" spans="1:25" ht="26.2" customHeight="1" x14ac:dyDescent="0.2">
      <c r="A8" s="273"/>
      <c r="B8" s="273" t="s">
        <v>15</v>
      </c>
      <c r="C8" s="274" t="s">
        <v>16</v>
      </c>
      <c r="D8" s="274" t="s">
        <v>17</v>
      </c>
      <c r="E8" s="275" t="s">
        <v>20</v>
      </c>
      <c r="F8" s="273" t="s">
        <v>21</v>
      </c>
      <c r="G8" s="274" t="s">
        <v>22</v>
      </c>
      <c r="H8" s="274" t="s">
        <v>23</v>
      </c>
      <c r="I8" s="274" t="s">
        <v>24</v>
      </c>
      <c r="J8" s="274" t="s">
        <v>25</v>
      </c>
      <c r="K8" s="274" t="s">
        <v>26</v>
      </c>
      <c r="L8" s="493" t="s">
        <v>27</v>
      </c>
      <c r="M8" s="274" t="s">
        <v>28</v>
      </c>
      <c r="N8" s="274" t="s">
        <v>29</v>
      </c>
      <c r="O8" s="274" t="s">
        <v>30</v>
      </c>
      <c r="P8" s="275" t="s">
        <v>31</v>
      </c>
      <c r="Q8" s="275" t="s">
        <v>32</v>
      </c>
      <c r="R8" s="273" t="s">
        <v>33</v>
      </c>
      <c r="S8" s="274" t="s">
        <v>215</v>
      </c>
      <c r="T8" s="274" t="s">
        <v>432</v>
      </c>
      <c r="U8" s="493" t="s">
        <v>433</v>
      </c>
      <c r="V8" s="276" t="s">
        <v>434</v>
      </c>
      <c r="W8" s="7"/>
      <c r="X8" s="7"/>
      <c r="Y8" s="7"/>
    </row>
    <row r="9" spans="1:25" s="12" customFormat="1" ht="81.849999999999994" customHeight="1" thickBot="1" x14ac:dyDescent="0.25">
      <c r="A9" s="501" t="s">
        <v>257</v>
      </c>
      <c r="B9" s="501" t="s">
        <v>210</v>
      </c>
      <c r="C9" s="378" t="s">
        <v>191</v>
      </c>
      <c r="D9" s="378" t="str">
        <f>IF(B4=1,"Base FLV, Must use base from Table 3","Existing kW/Ton")</f>
        <v>Existing kW/Ton</v>
      </c>
      <c r="E9" s="502" t="s">
        <v>34</v>
      </c>
      <c r="F9" s="501" t="s">
        <v>210</v>
      </c>
      <c r="G9" s="378" t="s">
        <v>211</v>
      </c>
      <c r="H9" s="378" t="s">
        <v>194</v>
      </c>
      <c r="I9" s="378" t="s">
        <v>214</v>
      </c>
      <c r="J9" s="378" t="s">
        <v>258</v>
      </c>
      <c r="K9" s="378" t="s">
        <v>259</v>
      </c>
      <c r="L9" s="378" t="s">
        <v>435</v>
      </c>
      <c r="M9" s="378" t="s">
        <v>261</v>
      </c>
      <c r="N9" s="378" t="s">
        <v>34</v>
      </c>
      <c r="O9" s="378" t="s">
        <v>212</v>
      </c>
      <c r="P9" s="502" t="s">
        <v>198</v>
      </c>
      <c r="Q9" s="379" t="s">
        <v>243</v>
      </c>
      <c r="R9" s="501" t="s">
        <v>213</v>
      </c>
      <c r="S9" s="378" t="s">
        <v>436</v>
      </c>
      <c r="T9" s="378" t="s">
        <v>427</v>
      </c>
      <c r="U9" s="379" t="s">
        <v>262</v>
      </c>
      <c r="V9" s="379" t="s">
        <v>437</v>
      </c>
      <c r="W9" s="212"/>
      <c r="X9" s="212"/>
      <c r="Y9" s="212"/>
    </row>
    <row r="10" spans="1:25" s="7" customFormat="1" ht="24.9" customHeight="1" thickBot="1" x14ac:dyDescent="0.25">
      <c r="A10" s="380"/>
      <c r="B10" s="384"/>
      <c r="C10" s="381"/>
      <c r="D10" s="382"/>
      <c r="E10" s="383"/>
      <c r="F10" s="384"/>
      <c r="G10" s="385"/>
      <c r="H10" s="381"/>
      <c r="I10" s="381"/>
      <c r="J10" s="533" t="str">
        <f t="shared" ref="J10:J19" si="0">IF(ISERROR(VLOOKUP($F10,$A$26:$N$43,7,FALSE)),"",VLOOKUP($F10,$A$26:$N$43,7,FALSE))</f>
        <v/>
      </c>
      <c r="K10" s="381"/>
      <c r="L10" s="542" t="str">
        <f t="shared" ref="L10:L19" si="1">IF(ISERROR(VLOOKUP($F10,$A$26:$N$43,8,FALSE)),"",VLOOKUP($F10,$A$26:$N$43,8,FALSE))</f>
        <v/>
      </c>
      <c r="M10" s="381"/>
      <c r="N10" s="386"/>
      <c r="O10" s="387"/>
      <c r="P10" s="523"/>
      <c r="Q10" s="503"/>
      <c r="R10" s="388" t="str">
        <f t="shared" ref="R10:R19" si="2">IF(ISERROR(VLOOKUP($F10,$A$26:$N$43,9,FALSE)),"",VLOOKUP($F10,$A$26:$N$43,9,FALSE))</f>
        <v/>
      </c>
      <c r="S10" s="389" t="str">
        <f t="shared" ref="S10:S19" si="3">IF(OR(M10&gt;L10,K10&gt;J10),0,IF(ISERROR(I10*N10*R10),"",(I10*N10*R10)))</f>
        <v/>
      </c>
      <c r="T10" s="389" t="str">
        <f t="shared" ref="T10:T19" si="4">IF(ISERROR(VLOOKUP($F10,$A$26:$N$43,12,FALSE)),"",VLOOKUP($F10,$A$26:$N$43,12,FALSE))</f>
        <v/>
      </c>
      <c r="U10" s="389" t="str">
        <f t="shared" ref="U10:U19" si="5">IF(ISERROR(((L10-M10)*I10*T10*N10)*100),"",((L10-M10)*I10*T10*N10)*100)</f>
        <v/>
      </c>
      <c r="V10" s="390" t="str">
        <f>IF(ISERROR(S10+U10),"",IF(S10+U10&gt;P10*0.5,P10*0.5,IF((S10+U10)&gt;P10,(IF(P10&gt;100000,100000,P10)),(IF((S10+U10)&gt;100000,100000,(S10+U10))))))</f>
        <v/>
      </c>
      <c r="W10" s="126"/>
      <c r="X10"/>
      <c r="Y10"/>
    </row>
    <row r="11" spans="1:25" s="7" customFormat="1" ht="24.9" customHeight="1" thickBot="1" x14ac:dyDescent="0.25">
      <c r="A11" s="278" t="str">
        <f t="shared" ref="A11:A19" si="6">RIGHT(F11,1)</f>
        <v/>
      </c>
      <c r="B11" s="256"/>
      <c r="C11" s="234"/>
      <c r="D11" s="235"/>
      <c r="E11" s="236"/>
      <c r="F11" s="256"/>
      <c r="G11" s="240"/>
      <c r="H11" s="234"/>
      <c r="I11" s="234"/>
      <c r="J11" s="536" t="str">
        <f t="shared" si="0"/>
        <v/>
      </c>
      <c r="K11" s="234"/>
      <c r="L11" s="543" t="str">
        <f t="shared" si="1"/>
        <v/>
      </c>
      <c r="M11" s="234"/>
      <c r="N11" s="252"/>
      <c r="O11" s="253"/>
      <c r="P11" s="524"/>
      <c r="Q11" s="401"/>
      <c r="R11" s="279" t="str">
        <f t="shared" si="2"/>
        <v/>
      </c>
      <c r="S11" s="280" t="str">
        <f t="shared" si="3"/>
        <v/>
      </c>
      <c r="T11" s="280" t="str">
        <f t="shared" si="4"/>
        <v/>
      </c>
      <c r="U11" s="280" t="str">
        <f t="shared" si="5"/>
        <v/>
      </c>
      <c r="V11" s="390" t="str">
        <f t="shared" ref="V11:V19" si="7">IF(ISERROR(S11+U11),"",IF(S11+U11&gt;P11*0.5,P11*0.5,IF((S11+U11)&gt;P11,(IF(P11&gt;100000,100000,P11)),(IF((S11+U11)&gt;100000,100000,(S11+U11))))))</f>
        <v/>
      </c>
      <c r="W11"/>
      <c r="X11"/>
      <c r="Y11"/>
    </row>
    <row r="12" spans="1:25" s="7" customFormat="1" ht="24.9" customHeight="1" thickBot="1" x14ac:dyDescent="0.25">
      <c r="A12" s="278" t="str">
        <f t="shared" si="6"/>
        <v/>
      </c>
      <c r="B12" s="256"/>
      <c r="C12" s="234"/>
      <c r="D12" s="235"/>
      <c r="E12" s="236"/>
      <c r="F12" s="256"/>
      <c r="G12" s="240"/>
      <c r="H12" s="234"/>
      <c r="I12" s="234"/>
      <c r="J12" s="536" t="str">
        <f t="shared" si="0"/>
        <v/>
      </c>
      <c r="K12" s="234"/>
      <c r="L12" s="543" t="str">
        <f t="shared" si="1"/>
        <v/>
      </c>
      <c r="M12" s="234"/>
      <c r="N12" s="252"/>
      <c r="O12" s="253"/>
      <c r="P12" s="524"/>
      <c r="Q12" s="401"/>
      <c r="R12" s="279" t="str">
        <f t="shared" si="2"/>
        <v/>
      </c>
      <c r="S12" s="280" t="str">
        <f t="shared" si="3"/>
        <v/>
      </c>
      <c r="T12" s="280" t="str">
        <f t="shared" si="4"/>
        <v/>
      </c>
      <c r="U12" s="280" t="str">
        <f t="shared" si="5"/>
        <v/>
      </c>
      <c r="V12" s="390" t="str">
        <f t="shared" si="7"/>
        <v/>
      </c>
      <c r="W12"/>
      <c r="X12"/>
      <c r="Y12"/>
    </row>
    <row r="13" spans="1:25" s="7" customFormat="1" ht="24.9" customHeight="1" thickBot="1" x14ac:dyDescent="0.25">
      <c r="A13" s="278" t="str">
        <f t="shared" si="6"/>
        <v/>
      </c>
      <c r="B13" s="256"/>
      <c r="C13" s="234"/>
      <c r="D13" s="235"/>
      <c r="E13" s="236"/>
      <c r="F13" s="256"/>
      <c r="G13" s="240"/>
      <c r="H13" s="234"/>
      <c r="I13" s="234"/>
      <c r="J13" s="536" t="str">
        <f t="shared" si="0"/>
        <v/>
      </c>
      <c r="K13" s="234"/>
      <c r="L13" s="543" t="str">
        <f t="shared" si="1"/>
        <v/>
      </c>
      <c r="M13" s="234"/>
      <c r="N13" s="252"/>
      <c r="O13" s="253"/>
      <c r="P13" s="524"/>
      <c r="Q13" s="401"/>
      <c r="R13" s="279" t="str">
        <f t="shared" si="2"/>
        <v/>
      </c>
      <c r="S13" s="280" t="str">
        <f t="shared" si="3"/>
        <v/>
      </c>
      <c r="T13" s="280" t="str">
        <f t="shared" si="4"/>
        <v/>
      </c>
      <c r="U13" s="280" t="str">
        <f t="shared" si="5"/>
        <v/>
      </c>
      <c r="V13" s="390" t="str">
        <f t="shared" si="7"/>
        <v/>
      </c>
      <c r="W13"/>
      <c r="X13"/>
      <c r="Y13"/>
    </row>
    <row r="14" spans="1:25" s="7" customFormat="1" ht="24.9" customHeight="1" thickBot="1" x14ac:dyDescent="0.25">
      <c r="A14" s="278" t="str">
        <f t="shared" si="6"/>
        <v/>
      </c>
      <c r="B14" s="256"/>
      <c r="C14" s="234"/>
      <c r="D14" s="235"/>
      <c r="E14" s="236"/>
      <c r="F14" s="256"/>
      <c r="G14" s="240"/>
      <c r="H14" s="234"/>
      <c r="I14" s="234"/>
      <c r="J14" s="536" t="str">
        <f t="shared" si="0"/>
        <v/>
      </c>
      <c r="K14" s="234"/>
      <c r="L14" s="543" t="str">
        <f t="shared" si="1"/>
        <v/>
      </c>
      <c r="M14" s="234"/>
      <c r="N14" s="252"/>
      <c r="O14" s="253"/>
      <c r="P14" s="524"/>
      <c r="Q14" s="401"/>
      <c r="R14" s="279" t="str">
        <f t="shared" si="2"/>
        <v/>
      </c>
      <c r="S14" s="280" t="str">
        <f t="shared" si="3"/>
        <v/>
      </c>
      <c r="T14" s="280" t="str">
        <f t="shared" si="4"/>
        <v/>
      </c>
      <c r="U14" s="280" t="str">
        <f t="shared" si="5"/>
        <v/>
      </c>
      <c r="V14" s="390" t="str">
        <f t="shared" si="7"/>
        <v/>
      </c>
      <c r="W14"/>
      <c r="X14"/>
      <c r="Y14"/>
    </row>
    <row r="15" spans="1:25" s="7" customFormat="1" ht="24.9" customHeight="1" thickBot="1" x14ac:dyDescent="0.25">
      <c r="A15" s="278" t="str">
        <f t="shared" si="6"/>
        <v/>
      </c>
      <c r="B15" s="256"/>
      <c r="C15" s="234"/>
      <c r="D15" s="235"/>
      <c r="E15" s="236"/>
      <c r="F15" s="256"/>
      <c r="G15" s="240"/>
      <c r="H15" s="234"/>
      <c r="I15" s="234"/>
      <c r="J15" s="536" t="str">
        <f t="shared" si="0"/>
        <v/>
      </c>
      <c r="K15" s="234"/>
      <c r="L15" s="543" t="str">
        <f t="shared" si="1"/>
        <v/>
      </c>
      <c r="M15" s="234"/>
      <c r="N15" s="252"/>
      <c r="O15" s="253"/>
      <c r="P15" s="524"/>
      <c r="Q15" s="401"/>
      <c r="R15" s="279" t="str">
        <f t="shared" si="2"/>
        <v/>
      </c>
      <c r="S15" s="280" t="str">
        <f t="shared" si="3"/>
        <v/>
      </c>
      <c r="T15" s="280" t="str">
        <f t="shared" si="4"/>
        <v/>
      </c>
      <c r="U15" s="280" t="str">
        <f t="shared" si="5"/>
        <v/>
      </c>
      <c r="V15" s="390" t="str">
        <f t="shared" si="7"/>
        <v/>
      </c>
      <c r="W15"/>
      <c r="X15"/>
      <c r="Y15"/>
    </row>
    <row r="16" spans="1:25" s="7" customFormat="1" ht="24.9" customHeight="1" thickBot="1" x14ac:dyDescent="0.25">
      <c r="A16" s="278" t="str">
        <f t="shared" si="6"/>
        <v/>
      </c>
      <c r="B16" s="256"/>
      <c r="C16" s="234"/>
      <c r="D16" s="235"/>
      <c r="E16" s="236"/>
      <c r="F16" s="256"/>
      <c r="G16" s="240"/>
      <c r="H16" s="234"/>
      <c r="I16" s="234"/>
      <c r="J16" s="536" t="str">
        <f t="shared" si="0"/>
        <v/>
      </c>
      <c r="K16" s="234"/>
      <c r="L16" s="543" t="str">
        <f t="shared" si="1"/>
        <v/>
      </c>
      <c r="M16" s="234"/>
      <c r="N16" s="252"/>
      <c r="O16" s="253"/>
      <c r="P16" s="524"/>
      <c r="Q16" s="401"/>
      <c r="R16" s="279" t="str">
        <f t="shared" si="2"/>
        <v/>
      </c>
      <c r="S16" s="280" t="str">
        <f t="shared" si="3"/>
        <v/>
      </c>
      <c r="T16" s="280" t="str">
        <f t="shared" si="4"/>
        <v/>
      </c>
      <c r="U16" s="280" t="str">
        <f t="shared" si="5"/>
        <v/>
      </c>
      <c r="V16" s="390" t="str">
        <f t="shared" si="7"/>
        <v/>
      </c>
      <c r="W16"/>
      <c r="X16"/>
      <c r="Y16"/>
    </row>
    <row r="17" spans="1:25" s="7" customFormat="1" ht="24.9" customHeight="1" thickBot="1" x14ac:dyDescent="0.25">
      <c r="A17" s="278" t="str">
        <f t="shared" si="6"/>
        <v/>
      </c>
      <c r="B17" s="256"/>
      <c r="C17" s="234"/>
      <c r="D17" s="235"/>
      <c r="E17" s="236"/>
      <c r="F17" s="256"/>
      <c r="G17" s="240"/>
      <c r="H17" s="234"/>
      <c r="I17" s="234"/>
      <c r="J17" s="536" t="str">
        <f t="shared" si="0"/>
        <v/>
      </c>
      <c r="K17" s="234"/>
      <c r="L17" s="543" t="str">
        <f t="shared" si="1"/>
        <v/>
      </c>
      <c r="M17" s="234"/>
      <c r="N17" s="252"/>
      <c r="O17" s="253"/>
      <c r="P17" s="524"/>
      <c r="Q17" s="401"/>
      <c r="R17" s="279" t="str">
        <f t="shared" si="2"/>
        <v/>
      </c>
      <c r="S17" s="280" t="str">
        <f t="shared" si="3"/>
        <v/>
      </c>
      <c r="T17" s="280" t="str">
        <f t="shared" si="4"/>
        <v/>
      </c>
      <c r="U17" s="280" t="str">
        <f t="shared" si="5"/>
        <v/>
      </c>
      <c r="V17" s="390" t="str">
        <f t="shared" si="7"/>
        <v/>
      </c>
      <c r="W17"/>
      <c r="X17"/>
      <c r="Y17"/>
    </row>
    <row r="18" spans="1:25" s="7" customFormat="1" ht="24.9" customHeight="1" thickBot="1" x14ac:dyDescent="0.25">
      <c r="A18" s="278" t="str">
        <f t="shared" si="6"/>
        <v/>
      </c>
      <c r="B18" s="256"/>
      <c r="C18" s="234"/>
      <c r="D18" s="235"/>
      <c r="E18" s="236"/>
      <c r="F18" s="256"/>
      <c r="G18" s="240"/>
      <c r="H18" s="234"/>
      <c r="I18" s="234"/>
      <c r="J18" s="536" t="str">
        <f t="shared" si="0"/>
        <v/>
      </c>
      <c r="K18" s="234"/>
      <c r="L18" s="543" t="str">
        <f t="shared" si="1"/>
        <v/>
      </c>
      <c r="M18" s="234"/>
      <c r="N18" s="252"/>
      <c r="O18" s="253"/>
      <c r="P18" s="524"/>
      <c r="Q18" s="401"/>
      <c r="R18" s="279" t="str">
        <f t="shared" si="2"/>
        <v/>
      </c>
      <c r="S18" s="280" t="str">
        <f t="shared" si="3"/>
        <v/>
      </c>
      <c r="T18" s="280" t="str">
        <f t="shared" si="4"/>
        <v/>
      </c>
      <c r="U18" s="280" t="str">
        <f t="shared" si="5"/>
        <v/>
      </c>
      <c r="V18" s="390" t="str">
        <f t="shared" si="7"/>
        <v/>
      </c>
      <c r="W18"/>
      <c r="X18"/>
      <c r="Y18"/>
    </row>
    <row r="19" spans="1:25" s="7" customFormat="1" ht="24.9" customHeight="1" thickBot="1" x14ac:dyDescent="0.25">
      <c r="A19" s="283" t="str">
        <f t="shared" si="6"/>
        <v/>
      </c>
      <c r="B19" s="257"/>
      <c r="C19" s="237"/>
      <c r="D19" s="238"/>
      <c r="E19" s="239"/>
      <c r="F19" s="257"/>
      <c r="G19" s="258"/>
      <c r="H19" s="237"/>
      <c r="I19" s="237"/>
      <c r="J19" s="539" t="str">
        <f t="shared" si="0"/>
        <v/>
      </c>
      <c r="K19" s="237"/>
      <c r="L19" s="544" t="str">
        <f t="shared" si="1"/>
        <v/>
      </c>
      <c r="M19" s="237"/>
      <c r="N19" s="254"/>
      <c r="O19" s="255"/>
      <c r="P19" s="525"/>
      <c r="Q19" s="402"/>
      <c r="R19" s="281" t="str">
        <f t="shared" si="2"/>
        <v/>
      </c>
      <c r="S19" s="282" t="str">
        <f t="shared" si="3"/>
        <v/>
      </c>
      <c r="T19" s="282" t="str">
        <f t="shared" si="4"/>
        <v/>
      </c>
      <c r="U19" s="282" t="str">
        <f t="shared" si="5"/>
        <v/>
      </c>
      <c r="V19" s="390" t="str">
        <f t="shared" si="7"/>
        <v/>
      </c>
      <c r="W19"/>
      <c r="X19"/>
      <c r="Y19"/>
    </row>
    <row r="20" spans="1:25" ht="24.75" customHeight="1" thickBot="1" x14ac:dyDescent="0.25">
      <c r="A20" s="20"/>
      <c r="B20" s="1"/>
      <c r="C20" s="1"/>
      <c r="D20" s="1"/>
      <c r="E20" s="1"/>
      <c r="F20" s="1"/>
      <c r="G20" s="1"/>
      <c r="H20" s="1"/>
      <c r="I20" s="8"/>
      <c r="J20" s="21"/>
      <c r="K20" s="1"/>
      <c r="L20" s="1"/>
      <c r="M20" s="1"/>
      <c r="O20" s="1"/>
      <c r="P20" s="1"/>
      <c r="Q20" s="7"/>
      <c r="R20" s="707" t="s">
        <v>477</v>
      </c>
      <c r="S20" s="708"/>
      <c r="T20" s="9" t="s">
        <v>37</v>
      </c>
      <c r="U20" s="711">
        <f>IF(SUM(V10:V19)&gt;100000,100000,SUM(V10:V19))</f>
        <v>0</v>
      </c>
      <c r="V20" s="712"/>
    </row>
    <row r="21" spans="1:25" ht="8.1999999999999993" customHeight="1" x14ac:dyDescent="0.2">
      <c r="A21" s="213"/>
      <c r="B21" s="213"/>
      <c r="C21" s="213"/>
      <c r="D21" s="213"/>
      <c r="E21" s="213"/>
      <c r="F21" s="213"/>
      <c r="G21" s="213"/>
      <c r="H21" s="213"/>
      <c r="I21" s="213"/>
      <c r="J21" s="213"/>
      <c r="K21" s="211"/>
      <c r="L21" s="211"/>
      <c r="M21" s="211"/>
      <c r="N21" s="211"/>
      <c r="O21" s="211"/>
      <c r="P21" s="211"/>
      <c r="Q21" s="211"/>
      <c r="R21" s="709"/>
      <c r="S21" s="710"/>
      <c r="W21" s="3"/>
      <c r="X21" s="3"/>
      <c r="Y21" s="3"/>
    </row>
    <row r="22" spans="1:25" ht="8.1999999999999993" customHeight="1" thickBot="1" x14ac:dyDescent="0.25">
      <c r="A22" s="213"/>
      <c r="B22" s="213"/>
      <c r="C22" s="213"/>
      <c r="D22" s="213"/>
      <c r="E22" s="213"/>
      <c r="F22" s="213"/>
      <c r="G22" s="213"/>
      <c r="H22" s="213"/>
      <c r="I22" s="213"/>
      <c r="J22" s="213"/>
      <c r="K22" s="211"/>
      <c r="L22" s="211"/>
      <c r="M22" s="211"/>
      <c r="N22" s="211"/>
      <c r="O22" s="211"/>
      <c r="P22" s="211"/>
      <c r="Q22" s="211"/>
      <c r="R22" s="211"/>
      <c r="S22" s="211"/>
      <c r="W22" s="3"/>
      <c r="X22" s="3"/>
      <c r="Y22" s="3"/>
    </row>
    <row r="23" spans="1:25" s="198" customFormat="1" ht="20.149999999999999" customHeight="1" thickBot="1" x14ac:dyDescent="0.3">
      <c r="A23" s="699" t="s">
        <v>46</v>
      </c>
      <c r="B23" s="700"/>
      <c r="C23" s="700"/>
      <c r="D23" s="700"/>
      <c r="E23" s="700"/>
      <c r="F23" s="700"/>
      <c r="G23" s="700"/>
      <c r="H23" s="700"/>
      <c r="I23" s="700"/>
      <c r="J23" s="700"/>
      <c r="K23" s="700"/>
      <c r="L23" s="700"/>
      <c r="M23" s="700"/>
      <c r="N23" s="701"/>
      <c r="P23" s="658" t="s">
        <v>183</v>
      </c>
      <c r="Q23" s="659"/>
      <c r="R23" s="659"/>
      <c r="S23" s="659"/>
      <c r="T23" s="659"/>
      <c r="U23" s="660"/>
      <c r="V23" s="393"/>
    </row>
    <row r="24" spans="1:25" ht="16.55" customHeight="1" thickBot="1" x14ac:dyDescent="0.25">
      <c r="A24" s="699" t="s">
        <v>276</v>
      </c>
      <c r="B24" s="700"/>
      <c r="C24" s="700"/>
      <c r="D24" s="700"/>
      <c r="E24" s="700"/>
      <c r="F24" s="700"/>
      <c r="G24" s="700"/>
      <c r="H24" s="700"/>
      <c r="I24" s="700"/>
      <c r="J24" s="700"/>
      <c r="K24" s="700"/>
      <c r="L24" s="700"/>
      <c r="M24" s="700"/>
      <c r="N24" s="701"/>
      <c r="O24" s="395"/>
      <c r="P24" s="713" t="s">
        <v>216</v>
      </c>
      <c r="Q24" s="714"/>
      <c r="R24" s="714"/>
      <c r="S24" s="714"/>
      <c r="T24" s="673" t="s">
        <v>277</v>
      </c>
      <c r="U24" s="674"/>
      <c r="V24" s="394"/>
      <c r="W24" s="3"/>
      <c r="X24" s="3"/>
    </row>
    <row r="25" spans="1:25" ht="14.1" customHeight="1" thickBot="1" x14ac:dyDescent="0.25">
      <c r="A25" s="398" t="s">
        <v>268</v>
      </c>
      <c r="B25" s="694" t="s">
        <v>267</v>
      </c>
      <c r="C25" s="695"/>
      <c r="D25" s="695"/>
      <c r="E25" s="695"/>
      <c r="F25" s="696"/>
      <c r="G25" s="399" t="s">
        <v>269</v>
      </c>
      <c r="H25" s="490" t="s">
        <v>270</v>
      </c>
      <c r="I25" s="702" t="s">
        <v>42</v>
      </c>
      <c r="J25" s="676"/>
      <c r="K25" s="703"/>
      <c r="L25" s="675" t="s">
        <v>271</v>
      </c>
      <c r="M25" s="676"/>
      <c r="N25" s="677"/>
      <c r="O25" s="396"/>
      <c r="P25" s="668" t="s">
        <v>231</v>
      </c>
      <c r="Q25" s="669"/>
      <c r="R25" s="669"/>
      <c r="S25" s="670"/>
      <c r="T25" s="661">
        <v>986</v>
      </c>
      <c r="U25" s="667"/>
      <c r="V25" s="104"/>
      <c r="W25" s="3"/>
      <c r="X25" s="3"/>
    </row>
    <row r="26" spans="1:25" ht="14.1" customHeight="1" x14ac:dyDescent="0.2">
      <c r="A26" s="397" t="s">
        <v>442</v>
      </c>
      <c r="B26" s="683" t="s">
        <v>275</v>
      </c>
      <c r="C26" s="684"/>
      <c r="D26" s="684"/>
      <c r="E26" s="684"/>
      <c r="F26" s="685"/>
      <c r="G26" s="530">
        <v>0.73</v>
      </c>
      <c r="H26" s="530">
        <v>0.57999999999999996</v>
      </c>
      <c r="I26" s="678">
        <v>15</v>
      </c>
      <c r="J26" s="679"/>
      <c r="K26" s="680"/>
      <c r="L26" s="704">
        <v>0</v>
      </c>
      <c r="M26" s="705"/>
      <c r="N26" s="706"/>
      <c r="O26" s="396"/>
      <c r="P26" s="668" t="s">
        <v>143</v>
      </c>
      <c r="Q26" s="669" t="s">
        <v>137</v>
      </c>
      <c r="R26" s="669"/>
      <c r="S26" s="670"/>
      <c r="T26" s="661">
        <v>785</v>
      </c>
      <c r="U26" s="667"/>
      <c r="V26" s="104"/>
    </row>
    <row r="27" spans="1:25" ht="14.1" customHeight="1" x14ac:dyDescent="0.2">
      <c r="A27" s="397" t="s">
        <v>443</v>
      </c>
      <c r="B27" s="632" t="s">
        <v>272</v>
      </c>
      <c r="C27" s="633"/>
      <c r="D27" s="633"/>
      <c r="E27" s="633"/>
      <c r="F27" s="634"/>
      <c r="G27" s="530">
        <v>0.72499999999999998</v>
      </c>
      <c r="H27" s="530">
        <v>0.56499999999999995</v>
      </c>
      <c r="I27" s="635">
        <v>15</v>
      </c>
      <c r="J27" s="636"/>
      <c r="K27" s="637"/>
      <c r="L27" s="689">
        <v>0</v>
      </c>
      <c r="M27" s="690"/>
      <c r="N27" s="691"/>
      <c r="O27" s="396"/>
      <c r="P27" s="668" t="s">
        <v>232</v>
      </c>
      <c r="Q27" s="669" t="s">
        <v>140</v>
      </c>
      <c r="R27" s="669"/>
      <c r="S27" s="670"/>
      <c r="T27" s="661">
        <v>408</v>
      </c>
      <c r="U27" s="667"/>
      <c r="V27" s="104"/>
    </row>
    <row r="28" spans="1:25" ht="14.1" customHeight="1" x14ac:dyDescent="0.2">
      <c r="A28" s="397" t="s">
        <v>444</v>
      </c>
      <c r="B28" s="632" t="s">
        <v>273</v>
      </c>
      <c r="C28" s="633"/>
      <c r="D28" s="633"/>
      <c r="E28" s="633"/>
      <c r="F28" s="634"/>
      <c r="G28" s="531">
        <v>0.63</v>
      </c>
      <c r="H28" s="531">
        <v>0.53</v>
      </c>
      <c r="I28" s="635">
        <v>15</v>
      </c>
      <c r="J28" s="636"/>
      <c r="K28" s="637"/>
      <c r="L28" s="629">
        <v>0</v>
      </c>
      <c r="M28" s="630"/>
      <c r="N28" s="631"/>
      <c r="O28" s="396"/>
      <c r="P28" s="668" t="s">
        <v>233</v>
      </c>
      <c r="Q28" s="669" t="s">
        <v>144</v>
      </c>
      <c r="R28" s="669"/>
      <c r="S28" s="670"/>
      <c r="T28" s="661">
        <v>563</v>
      </c>
      <c r="U28" s="667"/>
      <c r="V28" s="104"/>
    </row>
    <row r="29" spans="1:25" ht="14.1" customHeight="1" x14ac:dyDescent="0.2">
      <c r="A29" s="397" t="s">
        <v>445</v>
      </c>
      <c r="B29" s="632" t="s">
        <v>168</v>
      </c>
      <c r="C29" s="633"/>
      <c r="D29" s="633"/>
      <c r="E29" s="633"/>
      <c r="F29" s="634"/>
      <c r="G29" s="531">
        <v>0.56999999999999995</v>
      </c>
      <c r="H29" s="531">
        <v>0.49</v>
      </c>
      <c r="I29" s="635">
        <v>15</v>
      </c>
      <c r="J29" s="636"/>
      <c r="K29" s="637"/>
      <c r="L29" s="629">
        <v>0</v>
      </c>
      <c r="M29" s="630"/>
      <c r="N29" s="631"/>
      <c r="O29" s="396"/>
      <c r="P29" s="668" t="s">
        <v>144</v>
      </c>
      <c r="Q29" s="669" t="s">
        <v>145</v>
      </c>
      <c r="R29" s="669"/>
      <c r="S29" s="670"/>
      <c r="T29" s="661">
        <v>865</v>
      </c>
      <c r="U29" s="667"/>
      <c r="V29" s="104"/>
    </row>
    <row r="30" spans="1:25" ht="14.1" customHeight="1" x14ac:dyDescent="0.2">
      <c r="A30" s="397" t="s">
        <v>446</v>
      </c>
      <c r="B30" s="632" t="s">
        <v>65</v>
      </c>
      <c r="C30" s="633"/>
      <c r="D30" s="633"/>
      <c r="E30" s="633"/>
      <c r="F30" s="634"/>
      <c r="G30" s="531">
        <v>0.61799999999999999</v>
      </c>
      <c r="H30" s="531">
        <v>0.57599999999999996</v>
      </c>
      <c r="I30" s="635">
        <v>15</v>
      </c>
      <c r="J30" s="636"/>
      <c r="K30" s="637"/>
      <c r="L30" s="629">
        <v>0</v>
      </c>
      <c r="M30" s="630"/>
      <c r="N30" s="631"/>
      <c r="O30" s="396"/>
      <c r="P30" s="668" t="s">
        <v>145</v>
      </c>
      <c r="Q30" s="669"/>
      <c r="R30" s="669"/>
      <c r="S30" s="670"/>
      <c r="T30" s="661">
        <v>1298</v>
      </c>
      <c r="U30" s="667"/>
      <c r="V30" s="104"/>
    </row>
    <row r="31" spans="1:25" s="3" customFormat="1" ht="14.1" customHeight="1" x14ac:dyDescent="0.2">
      <c r="A31" s="397" t="s">
        <v>447</v>
      </c>
      <c r="B31" s="632" t="s">
        <v>274</v>
      </c>
      <c r="C31" s="633"/>
      <c r="D31" s="633"/>
      <c r="E31" s="633"/>
      <c r="F31" s="634"/>
      <c r="G31" s="531">
        <v>0.61799999999999999</v>
      </c>
      <c r="H31" s="531">
        <v>0.57599999999999996</v>
      </c>
      <c r="I31" s="635">
        <v>15</v>
      </c>
      <c r="J31" s="636"/>
      <c r="K31" s="637"/>
      <c r="L31" s="629">
        <v>0</v>
      </c>
      <c r="M31" s="630"/>
      <c r="N31" s="631"/>
      <c r="O31" s="211"/>
      <c r="P31" s="668" t="s">
        <v>234</v>
      </c>
      <c r="Q31" s="669"/>
      <c r="R31" s="669"/>
      <c r="S31" s="670"/>
      <c r="T31" s="661">
        <v>754</v>
      </c>
      <c r="U31" s="667"/>
      <c r="V31" s="104"/>
      <c r="W31"/>
      <c r="X31"/>
      <c r="Y31"/>
    </row>
    <row r="32" spans="1:25" s="3" customFormat="1" ht="14.1" customHeight="1" x14ac:dyDescent="0.2">
      <c r="A32" s="397" t="s">
        <v>448</v>
      </c>
      <c r="B32" s="648" t="s">
        <v>424</v>
      </c>
      <c r="C32" s="649"/>
      <c r="D32" s="649"/>
      <c r="E32" s="649"/>
      <c r="F32" s="650"/>
      <c r="G32" s="531">
        <v>0.56000000000000005</v>
      </c>
      <c r="H32" s="531">
        <v>0.52900000000000003</v>
      </c>
      <c r="I32" s="635">
        <v>15</v>
      </c>
      <c r="J32" s="651"/>
      <c r="K32" s="652"/>
      <c r="L32" s="686">
        <v>0</v>
      </c>
      <c r="M32" s="687"/>
      <c r="N32" s="688"/>
      <c r="O32" s="214"/>
      <c r="P32" s="668" t="s">
        <v>235</v>
      </c>
      <c r="Q32" s="669"/>
      <c r="R32" s="669"/>
      <c r="S32" s="670"/>
      <c r="T32" s="661">
        <v>589</v>
      </c>
      <c r="U32" s="667"/>
      <c r="V32" s="104"/>
      <c r="W32"/>
      <c r="X32"/>
      <c r="Y32"/>
    </row>
    <row r="33" spans="1:26" s="3" customFormat="1" ht="14.1" customHeight="1" thickBot="1" x14ac:dyDescent="0.25">
      <c r="A33" s="397" t="s">
        <v>449</v>
      </c>
      <c r="B33" s="639" t="s">
        <v>425</v>
      </c>
      <c r="C33" s="640"/>
      <c r="D33" s="640"/>
      <c r="E33" s="640"/>
      <c r="F33" s="641"/>
      <c r="G33" s="532">
        <v>0.55400000000000005</v>
      </c>
      <c r="H33" s="532">
        <v>0.51900000000000002</v>
      </c>
      <c r="I33" s="642">
        <v>15</v>
      </c>
      <c r="J33" s="643"/>
      <c r="K33" s="644"/>
      <c r="L33" s="686">
        <v>0</v>
      </c>
      <c r="M33" s="687"/>
      <c r="N33" s="688"/>
      <c r="O33" s="214"/>
      <c r="P33" s="668" t="s">
        <v>236</v>
      </c>
      <c r="Q33" s="669"/>
      <c r="R33" s="669"/>
      <c r="S33" s="670"/>
      <c r="T33" s="661">
        <v>446</v>
      </c>
      <c r="U33" s="667"/>
      <c r="V33" s="104"/>
      <c r="W33"/>
      <c r="X33"/>
      <c r="Y33"/>
      <c r="Z33"/>
    </row>
    <row r="34" spans="1:26" s="3" customFormat="1" ht="16.55" customHeight="1" thickBot="1" x14ac:dyDescent="0.25">
      <c r="A34" s="699" t="s">
        <v>278</v>
      </c>
      <c r="B34" s="700"/>
      <c r="C34" s="700"/>
      <c r="D34" s="700"/>
      <c r="E34" s="700"/>
      <c r="F34" s="700"/>
      <c r="G34" s="700"/>
      <c r="H34" s="700"/>
      <c r="I34" s="700"/>
      <c r="J34" s="700"/>
      <c r="K34" s="700"/>
      <c r="L34" s="700"/>
      <c r="M34" s="700"/>
      <c r="N34" s="701"/>
      <c r="O34" s="214"/>
      <c r="P34" s="668" t="s">
        <v>237</v>
      </c>
      <c r="Q34" s="669"/>
      <c r="R34" s="669"/>
      <c r="S34" s="670"/>
      <c r="T34" s="661">
        <v>651</v>
      </c>
      <c r="U34" s="667"/>
      <c r="V34" s="104"/>
      <c r="W34"/>
      <c r="X34"/>
      <c r="Y34"/>
      <c r="Z34"/>
    </row>
    <row r="35" spans="1:26" s="3" customFormat="1" ht="14.1" customHeight="1" thickBot="1" x14ac:dyDescent="0.25">
      <c r="A35" s="398" t="s">
        <v>268</v>
      </c>
      <c r="B35" s="694" t="s">
        <v>267</v>
      </c>
      <c r="C35" s="695"/>
      <c r="D35" s="695"/>
      <c r="E35" s="695"/>
      <c r="F35" s="696"/>
      <c r="G35" s="399" t="s">
        <v>269</v>
      </c>
      <c r="H35" s="490" t="s">
        <v>270</v>
      </c>
      <c r="I35" s="702" t="s">
        <v>42</v>
      </c>
      <c r="J35" s="676"/>
      <c r="K35" s="703"/>
      <c r="L35" s="675" t="s">
        <v>271</v>
      </c>
      <c r="M35" s="676"/>
      <c r="N35" s="677"/>
      <c r="O35" s="392"/>
      <c r="P35" s="668" t="s">
        <v>238</v>
      </c>
      <c r="Q35" s="669"/>
      <c r="R35" s="669"/>
      <c r="S35" s="670"/>
      <c r="T35" s="661">
        <v>1263</v>
      </c>
      <c r="U35" s="667"/>
      <c r="V35" s="104"/>
      <c r="W35"/>
      <c r="X35"/>
      <c r="Y35"/>
      <c r="Z35"/>
    </row>
    <row r="36" spans="1:26" ht="14.1" customHeight="1" x14ac:dyDescent="0.2">
      <c r="A36" s="397" t="s">
        <v>450</v>
      </c>
      <c r="B36" s="683" t="s">
        <v>275</v>
      </c>
      <c r="C36" s="684"/>
      <c r="D36" s="684"/>
      <c r="E36" s="684"/>
      <c r="F36" s="685"/>
      <c r="G36" s="530">
        <v>0.8</v>
      </c>
      <c r="H36" s="530">
        <v>0.55000000000000004</v>
      </c>
      <c r="I36" s="678">
        <v>15</v>
      </c>
      <c r="J36" s="679"/>
      <c r="K36" s="680"/>
      <c r="L36" s="681">
        <v>2</v>
      </c>
      <c r="M36" s="679"/>
      <c r="N36" s="682"/>
      <c r="O36" s="392"/>
      <c r="P36" s="668" t="s">
        <v>239</v>
      </c>
      <c r="Q36" s="669"/>
      <c r="R36" s="669"/>
      <c r="S36" s="670"/>
      <c r="T36" s="661">
        <v>652</v>
      </c>
      <c r="U36" s="667"/>
      <c r="V36" s="104"/>
    </row>
    <row r="37" spans="1:26" ht="14.1" customHeight="1" x14ac:dyDescent="0.2">
      <c r="A37" s="397" t="s">
        <v>451</v>
      </c>
      <c r="B37" s="632" t="s">
        <v>272</v>
      </c>
      <c r="C37" s="633"/>
      <c r="D37" s="633"/>
      <c r="E37" s="633"/>
      <c r="F37" s="634"/>
      <c r="G37" s="531">
        <v>0.79</v>
      </c>
      <c r="H37" s="531">
        <v>0.53600000000000003</v>
      </c>
      <c r="I37" s="635">
        <v>15</v>
      </c>
      <c r="J37" s="636"/>
      <c r="K37" s="637"/>
      <c r="L37" s="638">
        <v>2</v>
      </c>
      <c r="M37" s="636"/>
      <c r="N37" s="637"/>
      <c r="O37" s="211"/>
      <c r="P37" s="668" t="s">
        <v>240</v>
      </c>
      <c r="Q37" s="669"/>
      <c r="R37" s="669"/>
      <c r="S37" s="670"/>
      <c r="T37" s="661">
        <v>686</v>
      </c>
      <c r="U37" s="667"/>
      <c r="V37" s="104"/>
    </row>
    <row r="38" spans="1:26" ht="14.1" customHeight="1" x14ac:dyDescent="0.2">
      <c r="A38" s="397" t="s">
        <v>452</v>
      </c>
      <c r="B38" s="632" t="s">
        <v>273</v>
      </c>
      <c r="C38" s="633"/>
      <c r="D38" s="633"/>
      <c r="E38" s="633"/>
      <c r="F38" s="634"/>
      <c r="G38" s="531">
        <v>0.71799999999999997</v>
      </c>
      <c r="H38" s="531">
        <v>0.49</v>
      </c>
      <c r="I38" s="635">
        <v>15</v>
      </c>
      <c r="J38" s="636"/>
      <c r="K38" s="637"/>
      <c r="L38" s="638">
        <v>2</v>
      </c>
      <c r="M38" s="636"/>
      <c r="N38" s="637"/>
      <c r="P38" s="668" t="s">
        <v>241</v>
      </c>
      <c r="Q38" s="669"/>
      <c r="R38" s="669"/>
      <c r="S38" s="670"/>
      <c r="T38" s="665">
        <v>574</v>
      </c>
      <c r="U38" s="666"/>
      <c r="V38" s="104"/>
    </row>
    <row r="39" spans="1:26" ht="14.1" customHeight="1" thickBot="1" x14ac:dyDescent="0.25">
      <c r="A39" s="397" t="s">
        <v>453</v>
      </c>
      <c r="B39" s="632" t="s">
        <v>168</v>
      </c>
      <c r="C39" s="633"/>
      <c r="D39" s="633"/>
      <c r="E39" s="633"/>
      <c r="F39" s="634"/>
      <c r="G39" s="531">
        <v>0.63900000000000001</v>
      </c>
      <c r="H39" s="531">
        <v>0.44</v>
      </c>
      <c r="I39" s="635">
        <v>15</v>
      </c>
      <c r="J39" s="636"/>
      <c r="K39" s="637"/>
      <c r="L39" s="638">
        <v>2</v>
      </c>
      <c r="M39" s="636"/>
      <c r="N39" s="637"/>
      <c r="P39" s="715" t="s">
        <v>242</v>
      </c>
      <c r="Q39" s="716"/>
      <c r="R39" s="716"/>
      <c r="S39" s="717"/>
      <c r="T39" s="671">
        <v>409</v>
      </c>
      <c r="U39" s="672"/>
      <c r="V39" s="104"/>
    </row>
    <row r="40" spans="1:26" ht="14.1" customHeight="1" x14ac:dyDescent="0.2">
      <c r="A40" s="397" t="s">
        <v>454</v>
      </c>
      <c r="B40" s="632" t="s">
        <v>65</v>
      </c>
      <c r="C40" s="633"/>
      <c r="D40" s="633"/>
      <c r="E40" s="633"/>
      <c r="F40" s="634"/>
      <c r="G40" s="531">
        <v>0.63900000000000001</v>
      </c>
      <c r="H40" s="531">
        <v>0.43</v>
      </c>
      <c r="I40" s="635">
        <v>15</v>
      </c>
      <c r="J40" s="636"/>
      <c r="K40" s="637"/>
      <c r="L40" s="638">
        <v>2</v>
      </c>
      <c r="M40" s="636"/>
      <c r="N40" s="637"/>
      <c r="O40" s="215"/>
      <c r="P40" s="104"/>
      <c r="Q40" s="104"/>
      <c r="R40" s="104"/>
      <c r="S40" s="104"/>
      <c r="T40" s="104"/>
      <c r="U40" s="104"/>
    </row>
    <row r="41" spans="1:26" ht="14.1" customHeight="1" thickBot="1" x14ac:dyDescent="0.25">
      <c r="A41" s="397" t="s">
        <v>455</v>
      </c>
      <c r="B41" s="632" t="s">
        <v>274</v>
      </c>
      <c r="C41" s="633"/>
      <c r="D41" s="633"/>
      <c r="E41" s="633"/>
      <c r="F41" s="634"/>
      <c r="G41" s="531">
        <v>0.63900000000000001</v>
      </c>
      <c r="H41" s="531">
        <v>0.43</v>
      </c>
      <c r="I41" s="635">
        <v>15</v>
      </c>
      <c r="J41" s="636"/>
      <c r="K41" s="637"/>
      <c r="L41" s="638">
        <v>2</v>
      </c>
      <c r="M41" s="636"/>
      <c r="N41" s="637"/>
      <c r="O41" s="213"/>
      <c r="P41" s="215"/>
      <c r="Q41" s="215"/>
      <c r="R41" s="211"/>
      <c r="S41" s="211"/>
      <c r="T41" s="3"/>
      <c r="U41" s="3"/>
    </row>
    <row r="42" spans="1:26" ht="14.1" customHeight="1" x14ac:dyDescent="0.2">
      <c r="A42" s="397" t="s">
        <v>456</v>
      </c>
      <c r="B42" s="648" t="s">
        <v>426</v>
      </c>
      <c r="C42" s="649"/>
      <c r="D42" s="649"/>
      <c r="E42" s="649"/>
      <c r="F42" s="650"/>
      <c r="G42" s="531">
        <v>0.6</v>
      </c>
      <c r="H42" s="531">
        <v>0.38</v>
      </c>
      <c r="I42" s="635">
        <v>15</v>
      </c>
      <c r="J42" s="651"/>
      <c r="K42" s="652"/>
      <c r="L42" s="638">
        <v>2</v>
      </c>
      <c r="M42" s="653"/>
      <c r="N42" s="654"/>
      <c r="O42" s="211"/>
      <c r="P42" s="658" t="s">
        <v>266</v>
      </c>
      <c r="Q42" s="659"/>
      <c r="R42" s="659"/>
      <c r="S42" s="659"/>
      <c r="T42" s="659"/>
      <c r="U42" s="660"/>
    </row>
    <row r="43" spans="1:26" ht="14.1" customHeight="1" thickBot="1" x14ac:dyDescent="0.25">
      <c r="A43" s="400" t="s">
        <v>457</v>
      </c>
      <c r="B43" s="639" t="s">
        <v>425</v>
      </c>
      <c r="C43" s="640"/>
      <c r="D43" s="640"/>
      <c r="E43" s="640"/>
      <c r="F43" s="641"/>
      <c r="G43" s="532">
        <v>0.59</v>
      </c>
      <c r="H43" s="532">
        <v>0.38</v>
      </c>
      <c r="I43" s="642">
        <v>15</v>
      </c>
      <c r="J43" s="643"/>
      <c r="K43" s="644"/>
      <c r="L43" s="645">
        <v>2</v>
      </c>
      <c r="M43" s="646"/>
      <c r="N43" s="647"/>
      <c r="O43" s="211"/>
      <c r="P43" s="663" t="s">
        <v>264</v>
      </c>
      <c r="Q43" s="664"/>
      <c r="R43" s="661" t="s">
        <v>265</v>
      </c>
      <c r="S43" s="636"/>
      <c r="T43" s="636"/>
      <c r="U43" s="662"/>
    </row>
    <row r="44" spans="1:26" ht="14.1" customHeight="1" x14ac:dyDescent="0.2">
      <c r="A44" s="211"/>
      <c r="B44" s="211"/>
      <c r="C44" s="211"/>
      <c r="D44" s="211"/>
      <c r="E44" s="211"/>
      <c r="F44" s="211"/>
      <c r="G44" s="211"/>
      <c r="H44" s="211"/>
      <c r="I44" s="211"/>
      <c r="J44" s="211"/>
      <c r="K44" s="211"/>
      <c r="L44" s="211"/>
      <c r="M44" s="211"/>
      <c r="N44" s="211"/>
      <c r="P44" s="211"/>
      <c r="Q44" s="211"/>
      <c r="R44" s="211"/>
      <c r="S44" s="211"/>
    </row>
    <row r="45" spans="1:26" ht="14.1" customHeight="1" x14ac:dyDescent="0.2">
      <c r="A45" s="211" t="s">
        <v>428</v>
      </c>
      <c r="B45" s="211"/>
      <c r="C45" s="211"/>
      <c r="D45" s="211"/>
      <c r="E45" s="211"/>
      <c r="F45" s="211"/>
      <c r="G45" s="211"/>
      <c r="H45" s="211"/>
      <c r="I45" s="211"/>
      <c r="J45" s="211"/>
      <c r="K45" s="211"/>
      <c r="L45" s="211"/>
      <c r="M45" s="211"/>
      <c r="N45" s="214"/>
    </row>
    <row r="46" spans="1:26" ht="14.1" customHeight="1" x14ac:dyDescent="0.2">
      <c r="A46" s="211"/>
      <c r="B46" s="211"/>
      <c r="C46" s="211"/>
      <c r="D46" s="211"/>
      <c r="E46" s="211"/>
      <c r="F46" s="211"/>
      <c r="G46" s="211"/>
      <c r="H46" s="211"/>
      <c r="I46" s="211"/>
      <c r="J46" s="211"/>
      <c r="K46" s="211"/>
      <c r="L46" s="211"/>
      <c r="M46" s="211"/>
      <c r="N46" s="214"/>
    </row>
    <row r="47" spans="1:26" ht="14.1" customHeight="1" x14ac:dyDescent="0.2">
      <c r="A47" s="494" t="s">
        <v>281</v>
      </c>
      <c r="B47" s="211"/>
      <c r="C47" s="211"/>
      <c r="D47" s="211"/>
      <c r="E47" s="211"/>
      <c r="F47" s="211"/>
      <c r="G47" s="211"/>
      <c r="H47" s="211"/>
      <c r="I47" s="211"/>
      <c r="J47" s="211"/>
      <c r="K47" s="211"/>
      <c r="L47" s="211"/>
      <c r="M47" s="211"/>
      <c r="N47" s="214"/>
    </row>
    <row r="48" spans="1:26" ht="14.1" customHeight="1" x14ac:dyDescent="0.2">
      <c r="A48" s="494"/>
      <c r="B48" s="211"/>
      <c r="C48" s="211"/>
      <c r="D48" s="211"/>
      <c r="E48" s="211"/>
      <c r="F48" s="211"/>
      <c r="G48" s="211"/>
      <c r="H48" s="211"/>
      <c r="I48" s="211"/>
      <c r="J48" s="211"/>
      <c r="K48" s="211"/>
      <c r="L48" s="211"/>
      <c r="M48" s="211"/>
      <c r="N48" s="214"/>
    </row>
    <row r="49" spans="1:14" ht="14.1" customHeight="1" x14ac:dyDescent="0.25">
      <c r="A49" s="216" t="s">
        <v>282</v>
      </c>
      <c r="B49" s="619" t="s">
        <v>283</v>
      </c>
      <c r="C49" s="619"/>
      <c r="D49" s="619"/>
      <c r="E49" s="619"/>
      <c r="F49" s="619"/>
      <c r="G49" s="619"/>
      <c r="H49" s="619"/>
      <c r="I49" s="619"/>
      <c r="J49" s="619"/>
      <c r="K49" s="619"/>
      <c r="L49" s="619"/>
      <c r="M49" s="619"/>
      <c r="N49" s="619"/>
    </row>
    <row r="50" spans="1:14" x14ac:dyDescent="0.2">
      <c r="A50" s="31"/>
      <c r="B50" s="619"/>
      <c r="C50" s="619"/>
      <c r="D50" s="619"/>
      <c r="E50" s="619"/>
      <c r="F50" s="619"/>
      <c r="G50" s="619"/>
      <c r="H50" s="619"/>
      <c r="I50" s="619"/>
      <c r="J50" s="619"/>
      <c r="K50" s="619"/>
      <c r="L50" s="619"/>
      <c r="M50" s="619"/>
      <c r="N50" s="619"/>
    </row>
    <row r="51" spans="1:14" x14ac:dyDescent="0.2">
      <c r="A51" s="31"/>
      <c r="B51" s="619"/>
      <c r="C51" s="619"/>
      <c r="D51" s="619"/>
      <c r="E51" s="619"/>
      <c r="F51" s="619"/>
      <c r="G51" s="619"/>
      <c r="H51" s="619"/>
      <c r="I51" s="619"/>
      <c r="J51" s="619"/>
      <c r="K51" s="619"/>
      <c r="L51" s="619"/>
      <c r="M51" s="619"/>
      <c r="N51" s="619"/>
    </row>
    <row r="52" spans="1:14" x14ac:dyDescent="0.2">
      <c r="A52" s="31"/>
      <c r="B52" s="619"/>
      <c r="C52" s="619"/>
      <c r="D52" s="619"/>
      <c r="E52" s="619"/>
      <c r="F52" s="619"/>
      <c r="G52" s="619"/>
      <c r="H52" s="619"/>
      <c r="I52" s="619"/>
      <c r="J52" s="619"/>
      <c r="K52" s="619"/>
      <c r="L52" s="619"/>
      <c r="M52" s="619"/>
      <c r="N52" s="619"/>
    </row>
    <row r="53" spans="1:14" x14ac:dyDescent="0.2">
      <c r="A53" s="31"/>
      <c r="B53" s="31"/>
      <c r="C53" s="31"/>
      <c r="D53" s="31"/>
      <c r="E53" s="31"/>
      <c r="F53" s="31"/>
      <c r="G53" s="31"/>
      <c r="H53" s="31"/>
      <c r="I53" s="31"/>
      <c r="J53" s="31"/>
      <c r="K53" s="31"/>
      <c r="L53" s="31"/>
      <c r="M53" s="31"/>
      <c r="N53" s="31"/>
    </row>
    <row r="54" spans="1:14" x14ac:dyDescent="0.2">
      <c r="A54" s="31"/>
      <c r="B54" s="31" t="s">
        <v>220</v>
      </c>
      <c r="C54" s="31"/>
      <c r="D54" s="31"/>
      <c r="E54" s="31"/>
      <c r="F54" s="31"/>
      <c r="G54" s="31"/>
      <c r="H54" s="31"/>
      <c r="I54" s="31"/>
      <c r="J54" s="31"/>
      <c r="K54" s="31"/>
      <c r="L54" s="31"/>
      <c r="M54" s="31"/>
      <c r="N54" s="31"/>
    </row>
    <row r="55" spans="1:14" x14ac:dyDescent="0.2">
      <c r="B55" t="s">
        <v>221</v>
      </c>
    </row>
  </sheetData>
  <sheetProtection selectLockedCells="1"/>
  <mergeCells count="101">
    <mergeCell ref="R20:S21"/>
    <mergeCell ref="B49:N52"/>
    <mergeCell ref="U20:V20"/>
    <mergeCell ref="P26:S26"/>
    <mergeCell ref="P24:S24"/>
    <mergeCell ref="P25:S25"/>
    <mergeCell ref="P39:S39"/>
    <mergeCell ref="P32:S32"/>
    <mergeCell ref="P33:S33"/>
    <mergeCell ref="P34:S34"/>
    <mergeCell ref="P37:S37"/>
    <mergeCell ref="P38:S38"/>
    <mergeCell ref="P36:S36"/>
    <mergeCell ref="P35:S35"/>
    <mergeCell ref="B35:F35"/>
    <mergeCell ref="B37:F37"/>
    <mergeCell ref="B38:F38"/>
    <mergeCell ref="I37:K37"/>
    <mergeCell ref="L37:N37"/>
    <mergeCell ref="I38:K38"/>
    <mergeCell ref="L38:N38"/>
    <mergeCell ref="P31:S31"/>
    <mergeCell ref="A34:N34"/>
    <mergeCell ref="I35:K35"/>
    <mergeCell ref="D3:F3"/>
    <mergeCell ref="D4:F4"/>
    <mergeCell ref="B25:F25"/>
    <mergeCell ref="B26:F26"/>
    <mergeCell ref="B7:E7"/>
    <mergeCell ref="A23:N23"/>
    <mergeCell ref="A24:N24"/>
    <mergeCell ref="L25:N25"/>
    <mergeCell ref="I25:K25"/>
    <mergeCell ref="F7:Q7"/>
    <mergeCell ref="L26:N26"/>
    <mergeCell ref="I26:K26"/>
    <mergeCell ref="T27:U27"/>
    <mergeCell ref="L35:N35"/>
    <mergeCell ref="I36:K36"/>
    <mergeCell ref="L36:N36"/>
    <mergeCell ref="B36:F36"/>
    <mergeCell ref="B33:F33"/>
    <mergeCell ref="I33:K33"/>
    <mergeCell ref="L33:N33"/>
    <mergeCell ref="B32:F32"/>
    <mergeCell ref="I32:K32"/>
    <mergeCell ref="L32:N32"/>
    <mergeCell ref="B29:F29"/>
    <mergeCell ref="B30:F30"/>
    <mergeCell ref="B31:F31"/>
    <mergeCell ref="B27:F27"/>
    <mergeCell ref="I29:K29"/>
    <mergeCell ref="I30:K30"/>
    <mergeCell ref="I31:K31"/>
    <mergeCell ref="L27:N27"/>
    <mergeCell ref="I27:K27"/>
    <mergeCell ref="I28:K28"/>
    <mergeCell ref="L28:N28"/>
    <mergeCell ref="L29:N29"/>
    <mergeCell ref="L30:N30"/>
    <mergeCell ref="R7:V7"/>
    <mergeCell ref="P42:U42"/>
    <mergeCell ref="R43:U43"/>
    <mergeCell ref="P43:Q43"/>
    <mergeCell ref="T38:U38"/>
    <mergeCell ref="T32:U32"/>
    <mergeCell ref="T33:U33"/>
    <mergeCell ref="T34:U34"/>
    <mergeCell ref="T35:U35"/>
    <mergeCell ref="T36:U36"/>
    <mergeCell ref="T37:U37"/>
    <mergeCell ref="P28:S28"/>
    <mergeCell ref="P29:S29"/>
    <mergeCell ref="P30:S30"/>
    <mergeCell ref="P27:S27"/>
    <mergeCell ref="T39:U39"/>
    <mergeCell ref="T28:U28"/>
    <mergeCell ref="T29:U29"/>
    <mergeCell ref="T30:U30"/>
    <mergeCell ref="T31:U31"/>
    <mergeCell ref="P23:U23"/>
    <mergeCell ref="T24:U24"/>
    <mergeCell ref="T25:U25"/>
    <mergeCell ref="T26:U26"/>
    <mergeCell ref="L31:N31"/>
    <mergeCell ref="B28:F28"/>
    <mergeCell ref="I39:K39"/>
    <mergeCell ref="L39:N39"/>
    <mergeCell ref="B40:F40"/>
    <mergeCell ref="I40:K40"/>
    <mergeCell ref="L40:N40"/>
    <mergeCell ref="B39:F39"/>
    <mergeCell ref="B43:F43"/>
    <mergeCell ref="I43:K43"/>
    <mergeCell ref="L43:N43"/>
    <mergeCell ref="B41:F41"/>
    <mergeCell ref="I41:K41"/>
    <mergeCell ref="L41:N41"/>
    <mergeCell ref="B42:F42"/>
    <mergeCell ref="I42:K42"/>
    <mergeCell ref="L42:N42"/>
  </mergeCells>
  <dataValidations xWindow="202" yWindow="386" count="6">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
      <formula1>kw_ton</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sqref="D11:D19">
      <formula1>kw_ton</formula1>
    </dataValidation>
    <dataValidation type="list" allowBlank="1" showInputMessage="1" showErrorMessage="1" sqref="F10:F19 B10:B19">
      <formula1>Unit_Code_ChillersW</formula1>
    </dataValidation>
    <dataValidation type="decimal" operator="lessThanOrEqual" allowBlank="1" showInputMessage="1" showErrorMessage="1" errorTitle="Invalid Efficiency Rating" error="Rated FLV must be better than Min FLV" sqref="K10:K19">
      <formula1>J10</formula1>
    </dataValidation>
    <dataValidation type="decimal" operator="lessThanOrEqual" allowBlank="1" showInputMessage="1" showErrorMessage="1" errorTitle="Invalid Efficinecy Rating" error="Rated IPLV must be better than Min IPLV" sqref="M10:M19">
      <formula1>L10</formula1>
    </dataValidation>
  </dataValidations>
  <printOptions horizontalCentered="1"/>
  <pageMargins left="0.2"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Option Button 1">
              <controlPr defaultSize="0" autoFill="0" autoLine="0" autoPict="0">
                <anchor moveWithCells="1">
                  <from>
                    <xdr:col>2</xdr:col>
                    <xdr:colOff>58189</xdr:colOff>
                    <xdr:row>1</xdr:row>
                    <xdr:rowOff>257695</xdr:rowOff>
                  </from>
                  <to>
                    <xdr:col>2</xdr:col>
                    <xdr:colOff>365760</xdr:colOff>
                    <xdr:row>3</xdr:row>
                    <xdr:rowOff>0</xdr:rowOff>
                  </to>
                </anchor>
              </controlPr>
            </control>
          </mc:Choice>
        </mc:AlternateContent>
        <mc:AlternateContent xmlns:mc="http://schemas.openxmlformats.org/markup-compatibility/2006">
          <mc:Choice Requires="x14">
            <control shapeId="658434" r:id="rId5" name="Option Button 2">
              <controlPr defaultSize="0" autoFill="0" autoLine="0" autoPict="0">
                <anchor moveWithCells="1">
                  <from>
                    <xdr:col>2</xdr:col>
                    <xdr:colOff>58189</xdr:colOff>
                    <xdr:row>2</xdr:row>
                    <xdr:rowOff>174567</xdr:rowOff>
                  </from>
                  <to>
                    <xdr:col>2</xdr:col>
                    <xdr:colOff>365760</xdr:colOff>
                    <xdr:row>4</xdr:row>
                    <xdr:rowOff>24938</xdr:rowOff>
                  </to>
                </anchor>
              </controlPr>
            </control>
          </mc:Choice>
        </mc:AlternateContent>
        <mc:AlternateContent xmlns:mc="http://schemas.openxmlformats.org/markup-compatibility/2006">
          <mc:Choice Requires="x14">
            <control shapeId="658447" r:id="rId6" name="Option Button 15">
              <controlPr defaultSize="0" autoFill="0" autoLine="0" autoPict="0">
                <anchor moveWithCells="1">
                  <from>
                    <xdr:col>4</xdr:col>
                    <xdr:colOff>58189</xdr:colOff>
                    <xdr:row>3</xdr:row>
                    <xdr:rowOff>257695</xdr:rowOff>
                  </from>
                  <to>
                    <xdr:col>4</xdr:col>
                    <xdr:colOff>365760</xdr:colOff>
                    <xdr:row>5</xdr:row>
                    <xdr:rowOff>0</xdr:rowOff>
                  </to>
                </anchor>
              </controlPr>
            </control>
          </mc:Choice>
        </mc:AlternateContent>
        <mc:AlternateContent xmlns:mc="http://schemas.openxmlformats.org/markup-compatibility/2006">
          <mc:Choice Requires="x14">
            <control shapeId="658448" r:id="rId7" name="Option Button 16">
              <controlPr defaultSize="0" autoFill="0" autoLine="0" autoPict="0">
                <anchor moveWithCells="1">
                  <from>
                    <xdr:col>4</xdr:col>
                    <xdr:colOff>58189</xdr:colOff>
                    <xdr:row>4</xdr:row>
                    <xdr:rowOff>174567</xdr:rowOff>
                  </from>
                  <to>
                    <xdr:col>4</xdr:col>
                    <xdr:colOff>365760</xdr:colOff>
                    <xdr:row>5</xdr:row>
                    <xdr:rowOff>191193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46"/>
  <sheetViews>
    <sheetView zoomScale="80" zoomScaleNormal="80" workbookViewId="0">
      <selection activeCell="B70" sqref="B70"/>
    </sheetView>
  </sheetViews>
  <sheetFormatPr defaultRowHeight="12.45" x14ac:dyDescent="0.2"/>
  <cols>
    <col min="1" max="1" width="8.125" customWidth="1"/>
    <col min="2" max="2" width="12.25" customWidth="1"/>
    <col min="3" max="3" width="8" customWidth="1"/>
    <col min="4" max="4" width="10.75" customWidth="1"/>
    <col min="5" max="5" width="9.125" customWidth="1"/>
    <col min="6" max="6" width="10.375" customWidth="1"/>
    <col min="7" max="8" width="16.75" customWidth="1"/>
    <col min="9" max="9" width="8" customWidth="1"/>
    <col min="10" max="13" width="8.75" customWidth="1"/>
    <col min="14" max="15" width="10.625" customWidth="1"/>
    <col min="16" max="16" width="12.75" customWidth="1"/>
    <col min="17" max="19" width="13.25" customWidth="1"/>
    <col min="20" max="20" width="12.375" customWidth="1"/>
    <col min="21" max="21" width="13.25" customWidth="1"/>
    <col min="22" max="22" width="14.25" customWidth="1"/>
  </cols>
  <sheetData>
    <row r="1" spans="1:28" ht="13.6" customHeight="1" thickBot="1" x14ac:dyDescent="0.25"/>
    <row r="2" spans="1:28" s="2" customFormat="1" ht="20.95" customHeight="1" thickBot="1" x14ac:dyDescent="0.25">
      <c r="A2" s="409" t="s">
        <v>388</v>
      </c>
      <c r="B2" s="410"/>
      <c r="C2" s="410"/>
      <c r="D2" s="410"/>
      <c r="E2" s="410"/>
      <c r="F2" s="410"/>
      <c r="G2" s="410"/>
      <c r="H2" s="410"/>
      <c r="I2" s="410"/>
      <c r="J2" s="410"/>
      <c r="K2" s="410"/>
      <c r="L2" s="410"/>
      <c r="M2" s="410"/>
      <c r="N2" s="410"/>
      <c r="O2" s="410"/>
      <c r="P2" s="410"/>
      <c r="Q2" s="410"/>
      <c r="R2" s="410"/>
      <c r="S2" s="410"/>
      <c r="T2" s="410"/>
      <c r="U2" s="410"/>
      <c r="V2" s="411"/>
      <c r="W2" s="4"/>
      <c r="X2" s="4"/>
    </row>
    <row r="3" spans="1:28" ht="17.2" customHeight="1" x14ac:dyDescent="0.2">
      <c r="A3" s="140" t="s">
        <v>130</v>
      </c>
      <c r="B3" s="89"/>
      <c r="C3" s="89"/>
      <c r="D3" s="692" t="s">
        <v>76</v>
      </c>
      <c r="E3" s="692"/>
      <c r="F3" s="692"/>
      <c r="G3" s="76"/>
      <c r="H3" s="76"/>
      <c r="I3" s="76"/>
      <c r="J3" s="76"/>
      <c r="K3" s="76"/>
      <c r="L3" s="76"/>
      <c r="M3" s="76"/>
      <c r="N3" s="76"/>
      <c r="O3" s="76"/>
      <c r="P3" s="76"/>
      <c r="Q3" s="76"/>
      <c r="R3" s="76"/>
      <c r="S3" s="76"/>
    </row>
    <row r="4" spans="1:28" ht="12.8" customHeight="1" x14ac:dyDescent="0.2">
      <c r="A4" s="89"/>
      <c r="B4" s="92">
        <v>0</v>
      </c>
      <c r="C4" s="89"/>
      <c r="D4" s="693" t="s">
        <v>75</v>
      </c>
      <c r="E4" s="693"/>
      <c r="F4" s="693"/>
      <c r="G4" s="76"/>
      <c r="H4" s="76"/>
      <c r="I4" s="76"/>
      <c r="J4" s="76"/>
      <c r="K4" s="76"/>
      <c r="L4" s="76"/>
      <c r="M4" s="76"/>
      <c r="N4" s="76"/>
      <c r="O4" s="76"/>
      <c r="P4" s="76"/>
      <c r="Q4" s="76"/>
      <c r="R4" s="76"/>
      <c r="S4" s="76"/>
      <c r="U4" s="489">
        <v>43838</v>
      </c>
    </row>
    <row r="5" spans="1:28" ht="16.55" customHeight="1" x14ac:dyDescent="0.2">
      <c r="A5" s="527" t="s">
        <v>418</v>
      </c>
      <c r="B5" s="92"/>
      <c r="C5" s="89"/>
      <c r="D5" s="91"/>
      <c r="E5" s="91"/>
      <c r="F5" s="91"/>
      <c r="G5" s="89"/>
      <c r="H5" s="526" t="s">
        <v>419</v>
      </c>
      <c r="I5" s="76"/>
      <c r="J5" s="76"/>
      <c r="K5" s="76"/>
      <c r="L5" s="76"/>
      <c r="M5" s="76"/>
      <c r="N5" s="76"/>
      <c r="O5" s="76"/>
      <c r="P5" s="76"/>
      <c r="Q5" s="76"/>
      <c r="R5" s="76"/>
      <c r="S5" s="76"/>
      <c r="T5" s="76"/>
      <c r="U5" s="76"/>
      <c r="V5" s="76"/>
    </row>
    <row r="6" spans="1:28" ht="20.3" customHeight="1" thickBot="1" x14ac:dyDescent="0.25">
      <c r="A6" s="89"/>
      <c r="B6" s="92"/>
      <c r="C6" s="89"/>
      <c r="D6" s="91"/>
      <c r="E6" s="91"/>
      <c r="F6" s="91"/>
      <c r="G6" s="89"/>
      <c r="H6" s="526" t="s">
        <v>420</v>
      </c>
      <c r="I6" s="76"/>
      <c r="J6" s="76"/>
      <c r="K6" s="76"/>
      <c r="L6" s="76"/>
      <c r="M6" s="76"/>
      <c r="N6" s="76"/>
      <c r="O6" s="76"/>
      <c r="P6" s="76"/>
      <c r="Q6" s="76"/>
      <c r="R6" s="76"/>
      <c r="S6" s="76"/>
      <c r="T6" s="76"/>
      <c r="U6" s="76"/>
      <c r="V6" s="76"/>
    </row>
    <row r="7" spans="1:28" s="217" customFormat="1" ht="26.2" customHeight="1" thickBot="1" x14ac:dyDescent="0.25">
      <c r="A7" s="492"/>
      <c r="B7" s="579" t="str">
        <f>IF(B4=1,"Base Efficiency","EXISTING SYSTEM         (if operational)")</f>
        <v>EXISTING SYSTEM         (if operational)</v>
      </c>
      <c r="C7" s="584"/>
      <c r="D7" s="584"/>
      <c r="E7" s="718"/>
      <c r="F7" s="655" t="s">
        <v>13</v>
      </c>
      <c r="G7" s="656"/>
      <c r="H7" s="656"/>
      <c r="I7" s="656"/>
      <c r="J7" s="656"/>
      <c r="K7" s="656"/>
      <c r="L7" s="656"/>
      <c r="M7" s="656"/>
      <c r="N7" s="656"/>
      <c r="O7" s="656"/>
      <c r="P7" s="656"/>
      <c r="Q7" s="657"/>
      <c r="R7" s="406" t="s">
        <v>14</v>
      </c>
      <c r="S7" s="407"/>
      <c r="T7" s="407"/>
      <c r="U7" s="407"/>
      <c r="V7" s="408"/>
    </row>
    <row r="8" spans="1:28" ht="26.2" customHeight="1" x14ac:dyDescent="0.2">
      <c r="A8" s="273"/>
      <c r="B8" s="273" t="s">
        <v>15</v>
      </c>
      <c r="C8" s="274" t="s">
        <v>16</v>
      </c>
      <c r="D8" s="274" t="s">
        <v>17</v>
      </c>
      <c r="E8" s="275" t="s">
        <v>18</v>
      </c>
      <c r="F8" s="273" t="s">
        <v>19</v>
      </c>
      <c r="G8" s="274" t="s">
        <v>20</v>
      </c>
      <c r="H8" s="274" t="s">
        <v>21</v>
      </c>
      <c r="I8" s="274" t="s">
        <v>22</v>
      </c>
      <c r="J8" s="274" t="s">
        <v>23</v>
      </c>
      <c r="K8" s="274" t="s">
        <v>24</v>
      </c>
      <c r="L8" s="274" t="s">
        <v>25</v>
      </c>
      <c r="M8" s="274" t="s">
        <v>26</v>
      </c>
      <c r="N8" s="274" t="s">
        <v>27</v>
      </c>
      <c r="O8" s="274" t="s">
        <v>28</v>
      </c>
      <c r="P8" s="275" t="s">
        <v>29</v>
      </c>
      <c r="Q8" s="275"/>
      <c r="R8" s="273" t="s">
        <v>30</v>
      </c>
      <c r="S8" s="274" t="s">
        <v>31</v>
      </c>
      <c r="T8" s="274" t="s">
        <v>32</v>
      </c>
      <c r="U8" s="274" t="s">
        <v>33</v>
      </c>
      <c r="V8" s="274" t="s">
        <v>215</v>
      </c>
      <c r="X8" s="7"/>
      <c r="Y8" s="7"/>
      <c r="Z8" s="7"/>
      <c r="AA8" s="7"/>
      <c r="AB8" s="7"/>
    </row>
    <row r="9" spans="1:28" s="12" customFormat="1" ht="82.5" customHeight="1" thickBot="1" x14ac:dyDescent="0.25">
      <c r="A9" s="265" t="s">
        <v>257</v>
      </c>
      <c r="B9" s="265" t="s">
        <v>210</v>
      </c>
      <c r="C9" s="266" t="s">
        <v>191</v>
      </c>
      <c r="D9" s="266" t="str">
        <f>IF(B4=1,"Base FLV, Must use base from Table 3","Existing kW/Ton")</f>
        <v>Existing kW/Ton</v>
      </c>
      <c r="E9" s="277" t="s">
        <v>34</v>
      </c>
      <c r="F9" s="265" t="s">
        <v>210</v>
      </c>
      <c r="G9" s="266" t="s">
        <v>211</v>
      </c>
      <c r="H9" s="266" t="s">
        <v>194</v>
      </c>
      <c r="I9" s="266" t="s">
        <v>214</v>
      </c>
      <c r="J9" s="266" t="s">
        <v>258</v>
      </c>
      <c r="K9" s="266" t="s">
        <v>259</v>
      </c>
      <c r="L9" s="266" t="s">
        <v>260</v>
      </c>
      <c r="M9" s="266" t="s">
        <v>261</v>
      </c>
      <c r="N9" s="266" t="s">
        <v>34</v>
      </c>
      <c r="O9" s="266" t="s">
        <v>212</v>
      </c>
      <c r="P9" s="277" t="s">
        <v>198</v>
      </c>
      <c r="Q9" s="379" t="s">
        <v>243</v>
      </c>
      <c r="R9" s="265" t="s">
        <v>213</v>
      </c>
      <c r="S9" s="266" t="s">
        <v>217</v>
      </c>
      <c r="T9" s="266" t="s">
        <v>427</v>
      </c>
      <c r="U9" s="267" t="s">
        <v>262</v>
      </c>
      <c r="V9" s="267" t="s">
        <v>263</v>
      </c>
      <c r="W9" s="212"/>
      <c r="X9" s="212"/>
      <c r="Y9" s="212"/>
    </row>
    <row r="10" spans="1:28" s="7" customFormat="1" ht="24.9" customHeight="1" thickBot="1" x14ac:dyDescent="0.25">
      <c r="A10" s="278" t="str">
        <f>RIGHT(F10,1)</f>
        <v/>
      </c>
      <c r="B10" s="384"/>
      <c r="C10" s="381"/>
      <c r="D10" s="382"/>
      <c r="E10" s="383"/>
      <c r="F10" s="384"/>
      <c r="G10" s="385"/>
      <c r="H10" s="381"/>
      <c r="I10" s="381"/>
      <c r="J10" s="533" t="str">
        <f>IF(ISERROR(VLOOKUP($F10,$A$26:$N$31,7,FALSE)),"",VLOOKUP($F10,$A$26:$N$31,7,FALSE))</f>
        <v/>
      </c>
      <c r="K10" s="534"/>
      <c r="L10" s="535" t="str">
        <f>IF(ISERROR(VLOOKUP($F10,$A$26:$N$31,8,FALSE)),"",VLOOKUP($F10,$A$26:$N$31,8,FALSE))</f>
        <v/>
      </c>
      <c r="M10" s="534"/>
      <c r="N10" s="386"/>
      <c r="O10" s="387"/>
      <c r="P10" s="520"/>
      <c r="Q10" s="422"/>
      <c r="R10" s="388" t="str">
        <f t="shared" ref="R10:R19" si="0">IF(ISERROR(VLOOKUP($F10,$A$26:$N$31,9,FALSE)),"",VLOOKUP($F10,$A$26:$N$31,9,FALSE))</f>
        <v/>
      </c>
      <c r="S10" s="389" t="str">
        <f t="shared" ref="S10:S19" si="1">IF(OR(M10&lt;L10,K10&lt;J10),0,IF(ISERROR(I10*N10*R10),"",(I10*N10*R10)))</f>
        <v/>
      </c>
      <c r="T10" s="389" t="str">
        <f t="shared" ref="T10:T19" si="2">IF(ISERROR(VLOOKUP($F10,$A$26:$N$31,12,FALSE)),"",VLOOKUP($F10,$A$26:$N$31,12,FALSE))</f>
        <v/>
      </c>
      <c r="U10" s="389" t="str">
        <f>IF(ISERROR(((M10-L10)*I10*T10*N10)*10),"",((M10-L10)*I10*T10*N10)*10)</f>
        <v/>
      </c>
      <c r="V10" s="390" t="str">
        <f>IF(ISERROR(S10+U10),"",IF(U10&gt;P10*0.5,P10*0.5,IF((S10+U10)&gt;P10,(IF(P10&gt;100000,100000,P10)),(IF((S10+U10)&gt;100000,100000,(S10+U10))))))</f>
        <v/>
      </c>
      <c r="W10" s="126"/>
      <c r="X10"/>
      <c r="Y10"/>
    </row>
    <row r="11" spans="1:28" s="7" customFormat="1" ht="24.9" customHeight="1" thickBot="1" x14ac:dyDescent="0.25">
      <c r="A11" s="278" t="str">
        <f t="shared" ref="A11:A19" si="3">RIGHT(F11,1)</f>
        <v/>
      </c>
      <c r="B11" s="256"/>
      <c r="C11" s="234"/>
      <c r="D11" s="235"/>
      <c r="E11" s="236"/>
      <c r="F11" s="256"/>
      <c r="G11" s="240"/>
      <c r="H11" s="234"/>
      <c r="I11" s="234"/>
      <c r="J11" s="536" t="str">
        <f t="shared" ref="J11:J19" si="4">IF(ISERROR(VLOOKUP($F11,$A$26:$N$31,7,FALSE)),"",VLOOKUP($F11,$A$26:$N$31,7,FALSE))</f>
        <v/>
      </c>
      <c r="K11" s="537"/>
      <c r="L11" s="538" t="str">
        <f t="shared" ref="L11:L19" si="5">IF(ISERROR(VLOOKUP($F11,$A$26:$N$31,8,FALSE)),"",VLOOKUP($F11,$A$26:$N$31,8,FALSE))</f>
        <v/>
      </c>
      <c r="M11" s="537"/>
      <c r="N11" s="252"/>
      <c r="O11" s="253"/>
      <c r="P11" s="521"/>
      <c r="Q11" s="401"/>
      <c r="R11" s="279" t="str">
        <f t="shared" si="0"/>
        <v/>
      </c>
      <c r="S11" s="280" t="str">
        <f t="shared" si="1"/>
        <v/>
      </c>
      <c r="T11" s="280" t="str">
        <f t="shared" si="2"/>
        <v/>
      </c>
      <c r="U11" s="280" t="str">
        <f t="shared" ref="U11:U19" si="6">IF(ISERROR(((M11-L11)*I11*T11*N11)*10),"",((M11-L11)*I11*T11*N11)*10)</f>
        <v/>
      </c>
      <c r="V11" s="390" t="str">
        <f t="shared" ref="V11:V19" si="7">IF(ISERROR(S11+U11),"",IF(U11&gt;P11*0.5,P11*0.5,IF((S11+U11)&gt;P11,(IF(P11&gt;100000,100000,P11)),(IF((S11+U11)&gt;100000,100000,(S11+U11))))))</f>
        <v/>
      </c>
      <c r="W11"/>
      <c r="X11"/>
      <c r="Y11"/>
    </row>
    <row r="12" spans="1:28" s="7" customFormat="1" ht="24.9" customHeight="1" thickBot="1" x14ac:dyDescent="0.25">
      <c r="A12" s="278" t="str">
        <f t="shared" si="3"/>
        <v/>
      </c>
      <c r="B12" s="256"/>
      <c r="C12" s="234"/>
      <c r="D12" s="235"/>
      <c r="E12" s="236"/>
      <c r="F12" s="256"/>
      <c r="G12" s="240"/>
      <c r="H12" s="234"/>
      <c r="I12" s="234"/>
      <c r="J12" s="536" t="str">
        <f t="shared" si="4"/>
        <v/>
      </c>
      <c r="K12" s="537"/>
      <c r="L12" s="538" t="str">
        <f t="shared" si="5"/>
        <v/>
      </c>
      <c r="M12" s="537"/>
      <c r="N12" s="252"/>
      <c r="O12" s="253"/>
      <c r="P12" s="521"/>
      <c r="Q12" s="401"/>
      <c r="R12" s="279" t="str">
        <f t="shared" si="0"/>
        <v/>
      </c>
      <c r="S12" s="280" t="str">
        <f t="shared" si="1"/>
        <v/>
      </c>
      <c r="T12" s="280" t="str">
        <f t="shared" si="2"/>
        <v/>
      </c>
      <c r="U12" s="280" t="str">
        <f t="shared" si="6"/>
        <v/>
      </c>
      <c r="V12" s="390" t="str">
        <f t="shared" si="7"/>
        <v/>
      </c>
      <c r="W12"/>
      <c r="X12"/>
      <c r="Y12"/>
    </row>
    <row r="13" spans="1:28" s="7" customFormat="1" ht="24.9" customHeight="1" thickBot="1" x14ac:dyDescent="0.25">
      <c r="A13" s="278" t="str">
        <f t="shared" si="3"/>
        <v/>
      </c>
      <c r="B13" s="256"/>
      <c r="C13" s="234"/>
      <c r="D13" s="235"/>
      <c r="E13" s="236"/>
      <c r="F13" s="256"/>
      <c r="G13" s="240"/>
      <c r="H13" s="234"/>
      <c r="I13" s="234"/>
      <c r="J13" s="536" t="str">
        <f t="shared" si="4"/>
        <v/>
      </c>
      <c r="K13" s="537"/>
      <c r="L13" s="538" t="str">
        <f t="shared" si="5"/>
        <v/>
      </c>
      <c r="M13" s="537"/>
      <c r="N13" s="252"/>
      <c r="O13" s="253"/>
      <c r="P13" s="521"/>
      <c r="Q13" s="401"/>
      <c r="R13" s="279" t="str">
        <f t="shared" si="0"/>
        <v/>
      </c>
      <c r="S13" s="280" t="str">
        <f t="shared" si="1"/>
        <v/>
      </c>
      <c r="T13" s="280" t="str">
        <f t="shared" si="2"/>
        <v/>
      </c>
      <c r="U13" s="280" t="str">
        <f t="shared" si="6"/>
        <v/>
      </c>
      <c r="V13" s="390" t="str">
        <f t="shared" si="7"/>
        <v/>
      </c>
      <c r="W13"/>
      <c r="X13"/>
      <c r="Y13"/>
    </row>
    <row r="14" spans="1:28" s="7" customFormat="1" ht="24.9" customHeight="1" thickBot="1" x14ac:dyDescent="0.25">
      <c r="A14" s="278" t="str">
        <f t="shared" si="3"/>
        <v/>
      </c>
      <c r="B14" s="256"/>
      <c r="C14" s="234"/>
      <c r="D14" s="235"/>
      <c r="E14" s="236"/>
      <c r="F14" s="256"/>
      <c r="G14" s="240"/>
      <c r="H14" s="234"/>
      <c r="I14" s="234"/>
      <c r="J14" s="536" t="str">
        <f t="shared" si="4"/>
        <v/>
      </c>
      <c r="K14" s="537"/>
      <c r="L14" s="538" t="str">
        <f t="shared" si="5"/>
        <v/>
      </c>
      <c r="M14" s="537"/>
      <c r="N14" s="252"/>
      <c r="O14" s="253"/>
      <c r="P14" s="521"/>
      <c r="Q14" s="401"/>
      <c r="R14" s="279" t="str">
        <f t="shared" si="0"/>
        <v/>
      </c>
      <c r="S14" s="280" t="str">
        <f t="shared" si="1"/>
        <v/>
      </c>
      <c r="T14" s="280" t="str">
        <f t="shared" si="2"/>
        <v/>
      </c>
      <c r="U14" s="280" t="str">
        <f t="shared" si="6"/>
        <v/>
      </c>
      <c r="V14" s="390" t="str">
        <f t="shared" si="7"/>
        <v/>
      </c>
      <c r="W14"/>
      <c r="X14"/>
      <c r="Y14"/>
    </row>
    <row r="15" spans="1:28" s="7" customFormat="1" ht="24.9" customHeight="1" thickBot="1" x14ac:dyDescent="0.25">
      <c r="A15" s="278" t="str">
        <f t="shared" si="3"/>
        <v/>
      </c>
      <c r="B15" s="256"/>
      <c r="C15" s="234"/>
      <c r="D15" s="235"/>
      <c r="E15" s="236"/>
      <c r="F15" s="256"/>
      <c r="G15" s="240"/>
      <c r="H15" s="234"/>
      <c r="I15" s="234"/>
      <c r="J15" s="536" t="str">
        <f t="shared" si="4"/>
        <v/>
      </c>
      <c r="K15" s="537"/>
      <c r="L15" s="538" t="str">
        <f t="shared" si="5"/>
        <v/>
      </c>
      <c r="M15" s="537"/>
      <c r="N15" s="252"/>
      <c r="O15" s="253"/>
      <c r="P15" s="521"/>
      <c r="Q15" s="401"/>
      <c r="R15" s="279" t="str">
        <f t="shared" si="0"/>
        <v/>
      </c>
      <c r="S15" s="280" t="str">
        <f t="shared" si="1"/>
        <v/>
      </c>
      <c r="T15" s="280" t="str">
        <f t="shared" si="2"/>
        <v/>
      </c>
      <c r="U15" s="280" t="str">
        <f t="shared" si="6"/>
        <v/>
      </c>
      <c r="V15" s="390" t="str">
        <f t="shared" si="7"/>
        <v/>
      </c>
      <c r="W15"/>
      <c r="X15"/>
      <c r="Y15"/>
    </row>
    <row r="16" spans="1:28" s="7" customFormat="1" ht="24.9" customHeight="1" thickBot="1" x14ac:dyDescent="0.25">
      <c r="A16" s="278" t="str">
        <f t="shared" si="3"/>
        <v/>
      </c>
      <c r="B16" s="256"/>
      <c r="C16" s="234"/>
      <c r="D16" s="235"/>
      <c r="E16" s="236"/>
      <c r="F16" s="256"/>
      <c r="G16" s="240"/>
      <c r="H16" s="234"/>
      <c r="I16" s="234"/>
      <c r="J16" s="536" t="str">
        <f t="shared" si="4"/>
        <v/>
      </c>
      <c r="K16" s="537"/>
      <c r="L16" s="538" t="str">
        <f t="shared" si="5"/>
        <v/>
      </c>
      <c r="M16" s="537"/>
      <c r="N16" s="252"/>
      <c r="O16" s="253"/>
      <c r="P16" s="521"/>
      <c r="Q16" s="401"/>
      <c r="R16" s="279" t="str">
        <f t="shared" si="0"/>
        <v/>
      </c>
      <c r="S16" s="280" t="str">
        <f t="shared" si="1"/>
        <v/>
      </c>
      <c r="T16" s="280" t="str">
        <f t="shared" si="2"/>
        <v/>
      </c>
      <c r="U16" s="280" t="str">
        <f t="shared" si="6"/>
        <v/>
      </c>
      <c r="V16" s="390" t="str">
        <f t="shared" si="7"/>
        <v/>
      </c>
      <c r="W16"/>
      <c r="X16"/>
      <c r="Y16"/>
    </row>
    <row r="17" spans="1:25" s="7" customFormat="1" ht="24.9" customHeight="1" thickBot="1" x14ac:dyDescent="0.25">
      <c r="A17" s="278" t="str">
        <f t="shared" si="3"/>
        <v/>
      </c>
      <c r="B17" s="256"/>
      <c r="C17" s="234"/>
      <c r="D17" s="235"/>
      <c r="E17" s="236"/>
      <c r="F17" s="256"/>
      <c r="G17" s="240"/>
      <c r="H17" s="234"/>
      <c r="I17" s="234"/>
      <c r="J17" s="536" t="str">
        <f t="shared" si="4"/>
        <v/>
      </c>
      <c r="K17" s="537"/>
      <c r="L17" s="538" t="str">
        <f t="shared" si="5"/>
        <v/>
      </c>
      <c r="M17" s="537"/>
      <c r="N17" s="252"/>
      <c r="O17" s="253"/>
      <c r="P17" s="521"/>
      <c r="Q17" s="401"/>
      <c r="R17" s="279" t="str">
        <f t="shared" si="0"/>
        <v/>
      </c>
      <c r="S17" s="280" t="str">
        <f t="shared" si="1"/>
        <v/>
      </c>
      <c r="T17" s="280" t="str">
        <f t="shared" si="2"/>
        <v/>
      </c>
      <c r="U17" s="280" t="str">
        <f t="shared" si="6"/>
        <v/>
      </c>
      <c r="V17" s="390" t="str">
        <f t="shared" si="7"/>
        <v/>
      </c>
      <c r="W17"/>
      <c r="X17"/>
      <c r="Y17"/>
    </row>
    <row r="18" spans="1:25" s="7" customFormat="1" ht="24.9" customHeight="1" thickBot="1" x14ac:dyDescent="0.25">
      <c r="A18" s="278" t="str">
        <f t="shared" si="3"/>
        <v/>
      </c>
      <c r="B18" s="256"/>
      <c r="C18" s="234"/>
      <c r="D18" s="235"/>
      <c r="E18" s="236"/>
      <c r="F18" s="256"/>
      <c r="G18" s="240"/>
      <c r="H18" s="234"/>
      <c r="I18" s="234"/>
      <c r="J18" s="536" t="str">
        <f t="shared" si="4"/>
        <v/>
      </c>
      <c r="K18" s="537"/>
      <c r="L18" s="538" t="str">
        <f t="shared" si="5"/>
        <v/>
      </c>
      <c r="M18" s="537"/>
      <c r="N18" s="252"/>
      <c r="O18" s="253"/>
      <c r="P18" s="521"/>
      <c r="Q18" s="401"/>
      <c r="R18" s="279" t="str">
        <f t="shared" si="0"/>
        <v/>
      </c>
      <c r="S18" s="280" t="str">
        <f t="shared" si="1"/>
        <v/>
      </c>
      <c r="T18" s="280" t="str">
        <f t="shared" si="2"/>
        <v/>
      </c>
      <c r="U18" s="280" t="str">
        <f t="shared" si="6"/>
        <v/>
      </c>
      <c r="V18" s="390" t="str">
        <f t="shared" si="7"/>
        <v/>
      </c>
      <c r="W18"/>
      <c r="X18"/>
      <c r="Y18"/>
    </row>
    <row r="19" spans="1:25" s="7" customFormat="1" ht="24.9" customHeight="1" thickBot="1" x14ac:dyDescent="0.25">
      <c r="A19" s="283" t="str">
        <f t="shared" si="3"/>
        <v/>
      </c>
      <c r="B19" s="257"/>
      <c r="C19" s="237"/>
      <c r="D19" s="238"/>
      <c r="E19" s="239"/>
      <c r="F19" s="257"/>
      <c r="G19" s="258"/>
      <c r="H19" s="237"/>
      <c r="I19" s="237"/>
      <c r="J19" s="539" t="str">
        <f t="shared" si="4"/>
        <v/>
      </c>
      <c r="K19" s="540"/>
      <c r="L19" s="541" t="str">
        <f t="shared" si="5"/>
        <v/>
      </c>
      <c r="M19" s="540"/>
      <c r="N19" s="254"/>
      <c r="O19" s="255"/>
      <c r="P19" s="522"/>
      <c r="Q19" s="402"/>
      <c r="R19" s="281" t="str">
        <f t="shared" si="0"/>
        <v/>
      </c>
      <c r="S19" s="282" t="str">
        <f t="shared" si="1"/>
        <v/>
      </c>
      <c r="T19" s="282" t="str">
        <f t="shared" si="2"/>
        <v/>
      </c>
      <c r="U19" s="282" t="str">
        <f t="shared" si="6"/>
        <v/>
      </c>
      <c r="V19" s="390" t="str">
        <f t="shared" si="7"/>
        <v/>
      </c>
      <c r="W19"/>
      <c r="X19"/>
      <c r="Y19"/>
    </row>
    <row r="20" spans="1:25" ht="24.75" customHeight="1" thickBot="1" x14ac:dyDescent="0.25">
      <c r="E20" s="20"/>
      <c r="F20" s="1"/>
      <c r="G20" s="1"/>
      <c r="H20" s="1"/>
      <c r="I20" s="1"/>
      <c r="J20" s="1"/>
      <c r="K20" s="1"/>
      <c r="L20" s="1"/>
      <c r="M20" s="8"/>
      <c r="N20" s="21"/>
      <c r="O20" s="1"/>
      <c r="P20" s="1"/>
      <c r="Q20" s="1"/>
      <c r="R20" s="707" t="s">
        <v>477</v>
      </c>
      <c r="S20" s="708"/>
      <c r="T20" s="9" t="s">
        <v>37</v>
      </c>
      <c r="U20" s="724">
        <f>IF(SUM(V10:V19)&gt;100000,100000,SUM(V10:V19))</f>
        <v>0</v>
      </c>
      <c r="V20" s="725"/>
    </row>
    <row r="21" spans="1:25" ht="8.1999999999999993" customHeight="1" x14ac:dyDescent="0.2">
      <c r="O21" s="211"/>
      <c r="P21" s="211"/>
      <c r="Q21" s="211"/>
      <c r="R21" s="709"/>
      <c r="S21" s="710"/>
      <c r="W21" s="3"/>
      <c r="X21" s="3"/>
    </row>
    <row r="22" spans="1:25" s="198" customFormat="1" ht="8.1999999999999993" customHeight="1" thickBot="1" x14ac:dyDescent="0.3">
      <c r="A22"/>
      <c r="B22"/>
      <c r="C22"/>
      <c r="D22"/>
      <c r="E22"/>
      <c r="F22"/>
      <c r="G22"/>
      <c r="H22"/>
      <c r="I22"/>
      <c r="J22"/>
      <c r="K22"/>
      <c r="L22"/>
      <c r="M22"/>
      <c r="N22"/>
      <c r="O22"/>
      <c r="P22"/>
      <c r="Q22"/>
      <c r="R22"/>
      <c r="S22"/>
      <c r="T22"/>
      <c r="U22"/>
      <c r="V22"/>
    </row>
    <row r="23" spans="1:25" ht="20.149999999999999" customHeight="1" thickBot="1" x14ac:dyDescent="0.3">
      <c r="A23" s="699" t="s">
        <v>46</v>
      </c>
      <c r="B23" s="700"/>
      <c r="C23" s="700"/>
      <c r="D23" s="700"/>
      <c r="E23" s="700"/>
      <c r="F23" s="700"/>
      <c r="G23" s="700"/>
      <c r="H23" s="700"/>
      <c r="I23" s="700"/>
      <c r="J23" s="700"/>
      <c r="K23" s="700"/>
      <c r="L23" s="700"/>
      <c r="M23" s="700"/>
      <c r="N23" s="701"/>
      <c r="O23" s="198"/>
      <c r="P23" s="658" t="s">
        <v>183</v>
      </c>
      <c r="Q23" s="659"/>
      <c r="R23" s="659"/>
      <c r="S23" s="659"/>
      <c r="T23" s="659"/>
      <c r="U23" s="660"/>
      <c r="V23" s="393"/>
      <c r="W23" s="3"/>
    </row>
    <row r="24" spans="1:25" ht="15.05" customHeight="1" thickBot="1" x14ac:dyDescent="0.25">
      <c r="A24" s="699" t="s">
        <v>276</v>
      </c>
      <c r="B24" s="700"/>
      <c r="C24" s="700"/>
      <c r="D24" s="700"/>
      <c r="E24" s="700"/>
      <c r="F24" s="700"/>
      <c r="G24" s="700"/>
      <c r="H24" s="700"/>
      <c r="I24" s="700"/>
      <c r="J24" s="700"/>
      <c r="K24" s="700"/>
      <c r="L24" s="700"/>
      <c r="M24" s="700"/>
      <c r="N24" s="701"/>
      <c r="O24" s="395"/>
      <c r="P24" s="713" t="s">
        <v>216</v>
      </c>
      <c r="Q24" s="714"/>
      <c r="R24" s="714"/>
      <c r="S24" s="714"/>
      <c r="T24" s="673" t="s">
        <v>277</v>
      </c>
      <c r="U24" s="674"/>
      <c r="V24" s="394"/>
      <c r="W24" s="3"/>
    </row>
    <row r="25" spans="1:25" ht="15.05" customHeight="1" thickBot="1" x14ac:dyDescent="0.25">
      <c r="A25" s="398" t="s">
        <v>268</v>
      </c>
      <c r="B25" s="694" t="s">
        <v>267</v>
      </c>
      <c r="C25" s="695"/>
      <c r="D25" s="695"/>
      <c r="E25" s="695"/>
      <c r="F25" s="696"/>
      <c r="G25" s="399" t="s">
        <v>269</v>
      </c>
      <c r="H25" s="490" t="s">
        <v>270</v>
      </c>
      <c r="I25" s="702" t="s">
        <v>42</v>
      </c>
      <c r="J25" s="676"/>
      <c r="K25" s="703"/>
      <c r="L25" s="675" t="s">
        <v>271</v>
      </c>
      <c r="M25" s="676"/>
      <c r="N25" s="677"/>
      <c r="O25" s="396"/>
      <c r="P25" s="668" t="s">
        <v>231</v>
      </c>
      <c r="Q25" s="669"/>
      <c r="R25" s="669"/>
      <c r="S25" s="670"/>
      <c r="T25" s="661">
        <v>986</v>
      </c>
      <c r="U25" s="667"/>
      <c r="V25" s="104"/>
    </row>
    <row r="26" spans="1:25" ht="14.1" customHeight="1" x14ac:dyDescent="0.2">
      <c r="A26" s="397" t="s">
        <v>438</v>
      </c>
      <c r="B26" s="683" t="s">
        <v>279</v>
      </c>
      <c r="C26" s="684"/>
      <c r="D26" s="684"/>
      <c r="E26" s="684"/>
      <c r="F26" s="685"/>
      <c r="G26" s="528">
        <v>9.74</v>
      </c>
      <c r="H26" s="518">
        <v>14</v>
      </c>
      <c r="I26" s="678">
        <v>8</v>
      </c>
      <c r="J26" s="679"/>
      <c r="K26" s="680"/>
      <c r="L26" s="721">
        <v>0</v>
      </c>
      <c r="M26" s="722"/>
      <c r="N26" s="723"/>
      <c r="O26" s="396"/>
      <c r="P26" s="668" t="s">
        <v>143</v>
      </c>
      <c r="Q26" s="669" t="s">
        <v>137</v>
      </c>
      <c r="R26" s="669"/>
      <c r="S26" s="670"/>
      <c r="T26" s="661">
        <v>785</v>
      </c>
      <c r="U26" s="667"/>
      <c r="V26" s="104"/>
    </row>
    <row r="27" spans="1:25" ht="14.1" customHeight="1" thickBot="1" x14ac:dyDescent="0.25">
      <c r="A27" s="397" t="s">
        <v>439</v>
      </c>
      <c r="B27" s="632" t="s">
        <v>280</v>
      </c>
      <c r="C27" s="633"/>
      <c r="D27" s="633"/>
      <c r="E27" s="633"/>
      <c r="F27" s="634"/>
      <c r="G27" s="529">
        <v>9.74</v>
      </c>
      <c r="H27" s="519">
        <v>14.3</v>
      </c>
      <c r="I27" s="635">
        <v>8</v>
      </c>
      <c r="J27" s="636"/>
      <c r="K27" s="637"/>
      <c r="L27" s="629">
        <v>0</v>
      </c>
      <c r="M27" s="719"/>
      <c r="N27" s="720"/>
      <c r="O27" s="396"/>
      <c r="P27" s="668" t="s">
        <v>232</v>
      </c>
      <c r="Q27" s="669" t="s">
        <v>140</v>
      </c>
      <c r="R27" s="669"/>
      <c r="S27" s="670"/>
      <c r="T27" s="661">
        <v>408</v>
      </c>
      <c r="U27" s="667"/>
      <c r="V27" s="104"/>
    </row>
    <row r="28" spans="1:25" ht="15.05" customHeight="1" thickBot="1" x14ac:dyDescent="0.25">
      <c r="A28" s="699" t="s">
        <v>278</v>
      </c>
      <c r="B28" s="700"/>
      <c r="C28" s="700"/>
      <c r="D28" s="700"/>
      <c r="E28" s="700"/>
      <c r="F28" s="700"/>
      <c r="G28" s="700"/>
      <c r="H28" s="700"/>
      <c r="I28" s="700"/>
      <c r="J28" s="700"/>
      <c r="K28" s="700"/>
      <c r="L28" s="700"/>
      <c r="M28" s="700"/>
      <c r="N28" s="701"/>
      <c r="O28" s="396"/>
      <c r="P28" s="668" t="s">
        <v>233</v>
      </c>
      <c r="Q28" s="669" t="s">
        <v>144</v>
      </c>
      <c r="R28" s="669"/>
      <c r="S28" s="670"/>
      <c r="T28" s="661">
        <v>563</v>
      </c>
      <c r="U28" s="667"/>
      <c r="V28" s="104"/>
    </row>
    <row r="29" spans="1:25" ht="15.05" customHeight="1" thickBot="1" x14ac:dyDescent="0.25">
      <c r="A29" s="398" t="s">
        <v>268</v>
      </c>
      <c r="B29" s="694" t="s">
        <v>267</v>
      </c>
      <c r="C29" s="695"/>
      <c r="D29" s="695"/>
      <c r="E29" s="695"/>
      <c r="F29" s="696"/>
      <c r="G29" s="399" t="s">
        <v>269</v>
      </c>
      <c r="H29" s="490" t="s">
        <v>270</v>
      </c>
      <c r="I29" s="702" t="s">
        <v>42</v>
      </c>
      <c r="J29" s="676"/>
      <c r="K29" s="703"/>
      <c r="L29" s="675" t="s">
        <v>271</v>
      </c>
      <c r="M29" s="676"/>
      <c r="N29" s="677"/>
      <c r="O29" s="396"/>
      <c r="P29" s="668" t="s">
        <v>144</v>
      </c>
      <c r="Q29" s="669" t="s">
        <v>145</v>
      </c>
      <c r="R29" s="669"/>
      <c r="S29" s="670"/>
      <c r="T29" s="661">
        <v>865</v>
      </c>
      <c r="U29" s="667"/>
      <c r="V29" s="104"/>
    </row>
    <row r="30" spans="1:25" s="3" customFormat="1" ht="14.1" customHeight="1" x14ac:dyDescent="0.2">
      <c r="A30" s="397" t="s">
        <v>440</v>
      </c>
      <c r="B30" s="683" t="s">
        <v>279</v>
      </c>
      <c r="C30" s="684"/>
      <c r="D30" s="684"/>
      <c r="E30" s="684"/>
      <c r="F30" s="685"/>
      <c r="G30" s="516">
        <v>9.5619999999999994</v>
      </c>
      <c r="H30" s="518">
        <v>14</v>
      </c>
      <c r="I30" s="678">
        <v>8</v>
      </c>
      <c r="J30" s="679"/>
      <c r="K30" s="680"/>
      <c r="L30" s="681">
        <v>2</v>
      </c>
      <c r="M30" s="679"/>
      <c r="N30" s="682"/>
      <c r="O30" s="396"/>
      <c r="P30" s="668" t="s">
        <v>145</v>
      </c>
      <c r="Q30" s="669"/>
      <c r="R30" s="669"/>
      <c r="S30" s="670"/>
      <c r="T30" s="661">
        <v>1298</v>
      </c>
      <c r="U30" s="667"/>
      <c r="V30" s="104"/>
      <c r="W30"/>
      <c r="X30"/>
    </row>
    <row r="31" spans="1:25" s="3" customFormat="1" ht="14.1" customHeight="1" x14ac:dyDescent="0.2">
      <c r="A31" s="397" t="s">
        <v>441</v>
      </c>
      <c r="B31" s="632" t="s">
        <v>280</v>
      </c>
      <c r="C31" s="633"/>
      <c r="D31" s="633"/>
      <c r="E31" s="633"/>
      <c r="F31" s="634"/>
      <c r="G31" s="517">
        <v>9.5619999999999994</v>
      </c>
      <c r="H31" s="519">
        <v>14.3</v>
      </c>
      <c r="I31" s="635">
        <v>8</v>
      </c>
      <c r="J31" s="636"/>
      <c r="K31" s="637"/>
      <c r="L31" s="638">
        <v>2</v>
      </c>
      <c r="M31" s="636"/>
      <c r="N31" s="637"/>
      <c r="O31" s="211"/>
      <c r="P31" s="668" t="s">
        <v>234</v>
      </c>
      <c r="Q31" s="669"/>
      <c r="R31" s="669"/>
      <c r="S31" s="670"/>
      <c r="T31" s="661">
        <v>754</v>
      </c>
      <c r="U31" s="667"/>
      <c r="V31" s="104"/>
      <c r="W31"/>
      <c r="X31"/>
    </row>
    <row r="32" spans="1:25" s="3" customFormat="1" ht="14.1" customHeight="1" x14ac:dyDescent="0.2">
      <c r="A32" s="211"/>
      <c r="B32" s="211"/>
      <c r="C32" s="211"/>
      <c r="D32" s="211"/>
      <c r="E32" s="211"/>
      <c r="F32" s="211"/>
      <c r="G32" s="211"/>
      <c r="H32" s="211"/>
      <c r="I32" s="211"/>
      <c r="J32" s="211"/>
      <c r="K32" s="211"/>
      <c r="L32" s="211"/>
      <c r="M32" s="211"/>
      <c r="N32" s="211"/>
      <c r="O32" s="214"/>
      <c r="P32" s="668" t="s">
        <v>235</v>
      </c>
      <c r="Q32" s="669"/>
      <c r="R32" s="669"/>
      <c r="S32" s="670"/>
      <c r="T32" s="661">
        <v>589</v>
      </c>
      <c r="U32" s="667"/>
      <c r="V32" s="104"/>
      <c r="W32"/>
      <c r="X32"/>
      <c r="Y32"/>
    </row>
    <row r="33" spans="1:25" s="3" customFormat="1" ht="14.1" customHeight="1" x14ac:dyDescent="0.2">
      <c r="A33" s="211" t="s">
        <v>429</v>
      </c>
      <c r="B33" s="211"/>
      <c r="C33" s="211"/>
      <c r="D33" s="211"/>
      <c r="E33" s="211"/>
      <c r="F33" s="211"/>
      <c r="G33" s="211"/>
      <c r="H33" s="211"/>
      <c r="I33" s="211"/>
      <c r="J33" s="211"/>
      <c r="K33" s="211"/>
      <c r="L33" s="211"/>
      <c r="M33" s="211"/>
      <c r="N33" s="214"/>
      <c r="O33" s="214"/>
      <c r="P33" s="668" t="s">
        <v>236</v>
      </c>
      <c r="Q33" s="669"/>
      <c r="R33" s="669"/>
      <c r="S33" s="670"/>
      <c r="T33" s="661">
        <v>446</v>
      </c>
      <c r="U33" s="667"/>
      <c r="V33" s="104"/>
      <c r="W33"/>
      <c r="X33"/>
      <c r="Y33"/>
    </row>
    <row r="34" spans="1:25" s="3" customFormat="1" ht="14.1" customHeight="1" x14ac:dyDescent="0.2">
      <c r="A34" s="211"/>
      <c r="B34" s="211"/>
      <c r="C34" s="211"/>
      <c r="D34" s="211"/>
      <c r="E34" s="211"/>
      <c r="F34" s="211"/>
      <c r="G34" s="211"/>
      <c r="H34" s="211"/>
      <c r="I34" s="211"/>
      <c r="J34" s="211"/>
      <c r="K34" s="211"/>
      <c r="L34" s="211"/>
      <c r="M34" s="211"/>
      <c r="N34" s="214"/>
      <c r="O34" s="214"/>
      <c r="P34" s="668" t="s">
        <v>237</v>
      </c>
      <c r="Q34" s="669"/>
      <c r="R34" s="669"/>
      <c r="S34" s="670"/>
      <c r="T34" s="661">
        <v>651</v>
      </c>
      <c r="U34" s="667"/>
      <c r="V34" s="104"/>
      <c r="W34"/>
      <c r="X34"/>
      <c r="Y34"/>
    </row>
    <row r="35" spans="1:25" ht="14.1" customHeight="1" x14ac:dyDescent="0.2">
      <c r="A35" s="494" t="s">
        <v>281</v>
      </c>
      <c r="B35" s="211"/>
      <c r="C35" s="211"/>
      <c r="D35" s="211"/>
      <c r="E35" s="211"/>
      <c r="F35" s="211"/>
      <c r="G35" s="211"/>
      <c r="H35" s="211"/>
      <c r="I35" s="211"/>
      <c r="J35" s="211"/>
      <c r="K35" s="211"/>
      <c r="L35" s="211"/>
      <c r="M35" s="211"/>
      <c r="N35" s="214"/>
      <c r="O35" s="491"/>
      <c r="P35" s="668" t="s">
        <v>238</v>
      </c>
      <c r="Q35" s="669"/>
      <c r="R35" s="669"/>
      <c r="S35" s="670"/>
      <c r="T35" s="661">
        <v>1263</v>
      </c>
      <c r="U35" s="667"/>
      <c r="V35" s="104"/>
    </row>
    <row r="36" spans="1:25" ht="14.1" customHeight="1" x14ac:dyDescent="0.2">
      <c r="A36" s="494"/>
      <c r="B36" s="211"/>
      <c r="C36" s="211"/>
      <c r="D36" s="211"/>
      <c r="E36" s="211"/>
      <c r="F36" s="211"/>
      <c r="G36" s="211"/>
      <c r="H36" s="211"/>
      <c r="I36" s="211"/>
      <c r="J36" s="211"/>
      <c r="K36" s="211"/>
      <c r="L36" s="211"/>
      <c r="M36" s="211"/>
      <c r="N36" s="214"/>
      <c r="O36" s="491"/>
      <c r="P36" s="668" t="s">
        <v>239</v>
      </c>
      <c r="Q36" s="669"/>
      <c r="R36" s="669"/>
      <c r="S36" s="670"/>
      <c r="T36" s="661">
        <v>652</v>
      </c>
      <c r="U36" s="667"/>
      <c r="V36" s="104"/>
    </row>
    <row r="37" spans="1:25" ht="14.1" customHeight="1" x14ac:dyDescent="0.25">
      <c r="A37" s="216" t="s">
        <v>282</v>
      </c>
      <c r="B37" s="619" t="s">
        <v>283</v>
      </c>
      <c r="C37" s="619"/>
      <c r="D37" s="619"/>
      <c r="E37" s="619"/>
      <c r="F37" s="619"/>
      <c r="G37" s="619"/>
      <c r="H37" s="619"/>
      <c r="I37" s="619"/>
      <c r="J37" s="619"/>
      <c r="K37" s="619"/>
      <c r="L37" s="619"/>
      <c r="M37" s="619"/>
      <c r="N37" s="619"/>
      <c r="O37" s="211"/>
      <c r="P37" s="668" t="s">
        <v>240</v>
      </c>
      <c r="Q37" s="669"/>
      <c r="R37" s="669"/>
      <c r="S37" s="670"/>
      <c r="T37" s="661">
        <v>686</v>
      </c>
      <c r="U37" s="667"/>
      <c r="V37" s="104"/>
    </row>
    <row r="38" spans="1:25" ht="14.1" customHeight="1" x14ac:dyDescent="0.2">
      <c r="A38" s="31"/>
      <c r="B38" s="619"/>
      <c r="C38" s="619"/>
      <c r="D38" s="619"/>
      <c r="E38" s="619"/>
      <c r="F38" s="619"/>
      <c r="G38" s="619"/>
      <c r="H38" s="619"/>
      <c r="I38" s="619"/>
      <c r="J38" s="619"/>
      <c r="K38" s="619"/>
      <c r="L38" s="619"/>
      <c r="M38" s="619"/>
      <c r="N38" s="619"/>
      <c r="P38" s="668" t="s">
        <v>241</v>
      </c>
      <c r="Q38" s="669"/>
      <c r="R38" s="669"/>
      <c r="S38" s="670"/>
      <c r="T38" s="665">
        <v>574</v>
      </c>
      <c r="U38" s="666"/>
      <c r="V38" s="104"/>
    </row>
    <row r="39" spans="1:25" ht="14.1" customHeight="1" thickBot="1" x14ac:dyDescent="0.25">
      <c r="A39" s="31"/>
      <c r="B39" s="619"/>
      <c r="C39" s="619"/>
      <c r="D39" s="619"/>
      <c r="E39" s="619"/>
      <c r="F39" s="619"/>
      <c r="G39" s="619"/>
      <c r="H39" s="619"/>
      <c r="I39" s="619"/>
      <c r="J39" s="619"/>
      <c r="K39" s="619"/>
      <c r="L39" s="619"/>
      <c r="M39" s="619"/>
      <c r="N39" s="619"/>
      <c r="P39" s="715" t="s">
        <v>242</v>
      </c>
      <c r="Q39" s="716"/>
      <c r="R39" s="716"/>
      <c r="S39" s="717"/>
      <c r="T39" s="671">
        <v>409</v>
      </c>
      <c r="U39" s="672"/>
      <c r="V39" s="104"/>
    </row>
    <row r="40" spans="1:25" ht="14.1" customHeight="1" x14ac:dyDescent="0.2">
      <c r="A40" s="31"/>
      <c r="B40" s="619"/>
      <c r="C40" s="619"/>
      <c r="D40" s="619"/>
      <c r="E40" s="619"/>
      <c r="F40" s="619"/>
      <c r="G40" s="619"/>
      <c r="H40" s="619"/>
      <c r="I40" s="619"/>
      <c r="J40" s="619"/>
      <c r="K40" s="619"/>
      <c r="L40" s="619"/>
      <c r="M40" s="619"/>
      <c r="N40" s="619"/>
      <c r="O40" s="215"/>
      <c r="P40" s="104"/>
      <c r="Q40" s="104"/>
      <c r="R40" s="104"/>
      <c r="S40" s="104"/>
      <c r="T40" s="104"/>
      <c r="U40" s="104"/>
    </row>
    <row r="41" spans="1:25" ht="14.1" customHeight="1" thickBot="1" x14ac:dyDescent="0.25">
      <c r="A41" s="31"/>
      <c r="B41" s="31"/>
      <c r="C41" s="31"/>
      <c r="D41" s="31"/>
      <c r="E41" s="31"/>
      <c r="F41" s="31"/>
      <c r="G41" s="31"/>
      <c r="H41" s="31"/>
      <c r="I41" s="31"/>
      <c r="J41" s="31"/>
      <c r="K41" s="31"/>
      <c r="L41" s="31"/>
      <c r="M41" s="31"/>
      <c r="N41" s="31"/>
      <c r="O41" s="213"/>
      <c r="P41" s="215"/>
      <c r="Q41" s="215"/>
      <c r="R41" s="211"/>
      <c r="S41" s="211"/>
      <c r="T41" s="3"/>
      <c r="U41" s="3"/>
    </row>
    <row r="42" spans="1:25" ht="14.1" customHeight="1" x14ac:dyDescent="0.2">
      <c r="A42" s="31"/>
      <c r="B42" s="31" t="s">
        <v>220</v>
      </c>
      <c r="C42" s="31"/>
      <c r="D42" s="31"/>
      <c r="E42" s="31"/>
      <c r="F42" s="31"/>
      <c r="G42" s="31"/>
      <c r="H42" s="31"/>
      <c r="I42" s="31"/>
      <c r="J42" s="31"/>
      <c r="K42" s="31"/>
      <c r="L42" s="31"/>
      <c r="M42" s="31"/>
      <c r="N42" s="31"/>
      <c r="O42" s="211"/>
      <c r="P42" s="658" t="s">
        <v>266</v>
      </c>
      <c r="Q42" s="659"/>
      <c r="R42" s="659"/>
      <c r="S42" s="659"/>
      <c r="T42" s="659"/>
      <c r="U42" s="660"/>
    </row>
    <row r="43" spans="1:25" ht="14.1" customHeight="1" x14ac:dyDescent="0.2">
      <c r="B43" t="s">
        <v>221</v>
      </c>
      <c r="O43" s="211"/>
      <c r="P43" s="663" t="s">
        <v>284</v>
      </c>
      <c r="Q43" s="664"/>
      <c r="R43" s="661" t="s">
        <v>430</v>
      </c>
      <c r="S43" s="636"/>
      <c r="T43" s="636"/>
      <c r="U43" s="662"/>
    </row>
    <row r="44" spans="1:25" ht="14.1" customHeight="1" x14ac:dyDescent="0.2">
      <c r="P44" s="211"/>
      <c r="Q44" s="211"/>
      <c r="R44" s="211"/>
      <c r="S44" s="211"/>
    </row>
    <row r="45" spans="1:25" ht="14.1" customHeight="1" x14ac:dyDescent="0.2"/>
    <row r="46" spans="1:25" ht="14.1" customHeight="1" x14ac:dyDescent="0.2"/>
  </sheetData>
  <sheetProtection selectLockedCells="1"/>
  <mergeCells count="64">
    <mergeCell ref="B37:N40"/>
    <mergeCell ref="U20:V20"/>
    <mergeCell ref="T28:U28"/>
    <mergeCell ref="P29:S29"/>
    <mergeCell ref="T25:U25"/>
    <mergeCell ref="P31:S31"/>
    <mergeCell ref="P26:S26"/>
    <mergeCell ref="P27:S27"/>
    <mergeCell ref="P28:S28"/>
    <mergeCell ref="T30:U30"/>
    <mergeCell ref="T29:U29"/>
    <mergeCell ref="P30:S30"/>
    <mergeCell ref="P34:S34"/>
    <mergeCell ref="P32:S32"/>
    <mergeCell ref="T27:U27"/>
    <mergeCell ref="T26:U26"/>
    <mergeCell ref="P25:S25"/>
    <mergeCell ref="T24:U24"/>
    <mergeCell ref="A24:N24"/>
    <mergeCell ref="B27:F27"/>
    <mergeCell ref="I27:K27"/>
    <mergeCell ref="L27:N27"/>
    <mergeCell ref="B25:F25"/>
    <mergeCell ref="P24:S24"/>
    <mergeCell ref="I25:K25"/>
    <mergeCell ref="L25:N25"/>
    <mergeCell ref="B26:F26"/>
    <mergeCell ref="I26:K26"/>
    <mergeCell ref="L26:N26"/>
    <mergeCell ref="D3:F3"/>
    <mergeCell ref="D4:F4"/>
    <mergeCell ref="B7:E7"/>
    <mergeCell ref="P23:U23"/>
    <mergeCell ref="R20:S21"/>
    <mergeCell ref="F7:Q7"/>
    <mergeCell ref="A23:N23"/>
    <mergeCell ref="T33:U33"/>
    <mergeCell ref="T32:U32"/>
    <mergeCell ref="T31:U31"/>
    <mergeCell ref="P38:S38"/>
    <mergeCell ref="P35:S35"/>
    <mergeCell ref="P36:S36"/>
    <mergeCell ref="P37:S37"/>
    <mergeCell ref="T38:U38"/>
    <mergeCell ref="T37:U37"/>
    <mergeCell ref="T36:U36"/>
    <mergeCell ref="T35:U35"/>
    <mergeCell ref="T34:U34"/>
    <mergeCell ref="P33:S33"/>
    <mergeCell ref="B31:F31"/>
    <mergeCell ref="I31:K31"/>
    <mergeCell ref="L31:N31"/>
    <mergeCell ref="A28:N28"/>
    <mergeCell ref="B29:F29"/>
    <mergeCell ref="I29:K29"/>
    <mergeCell ref="L29:N29"/>
    <mergeCell ref="B30:F30"/>
    <mergeCell ref="I30:K30"/>
    <mergeCell ref="L30:N30"/>
    <mergeCell ref="P42:U42"/>
    <mergeCell ref="P43:Q43"/>
    <mergeCell ref="R43:U43"/>
    <mergeCell ref="P39:S39"/>
    <mergeCell ref="T39:U39"/>
  </mergeCells>
  <dataValidations xWindow="138" yWindow="455" count="5">
    <dataValidation type="list" allowBlank="1" showInputMessage="1" showErrorMessage="1" sqref="F10:F19 B10:B19">
      <formula1>Unit_Code_ChillersA</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D19">
      <formula1>kw_ton</formula1>
    </dataValidation>
    <dataValidation type="decimal" operator="greaterThanOrEqual" allowBlank="1" showInputMessage="1" showErrorMessage="1" errorTitle="Invalid Efficiency Rating" error="Rated FLV must be equal or greater than Minimum FLV" sqref="K10:K19">
      <formula1>J10</formula1>
    </dataValidation>
    <dataValidation type="decimal" operator="greaterThanOrEqual" allowBlank="1" showInputMessage="1" showErrorMessage="1" errorTitle="Invalid Efficinecy Rating" error="Rated IPLV must be equal or greater than Minimum IPLV" sqref="M10:M19">
      <formula1>L10</formula1>
    </dataValidation>
  </dataValidations>
  <printOptions horizontalCentered="1"/>
  <pageMargins left="0.1"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7217" r:id="rId4" name="Option Button 1">
              <controlPr defaultSize="0" autoFill="0" autoLine="0" autoPict="0">
                <anchor moveWithCells="1">
                  <from>
                    <xdr:col>2</xdr:col>
                    <xdr:colOff>58189</xdr:colOff>
                    <xdr:row>1</xdr:row>
                    <xdr:rowOff>257695</xdr:rowOff>
                  </from>
                  <to>
                    <xdr:col>2</xdr:col>
                    <xdr:colOff>349135</xdr:colOff>
                    <xdr:row>2</xdr:row>
                    <xdr:rowOff>207818</xdr:rowOff>
                  </to>
                </anchor>
              </controlPr>
            </control>
          </mc:Choice>
        </mc:AlternateContent>
        <mc:AlternateContent xmlns:mc="http://schemas.openxmlformats.org/markup-compatibility/2006">
          <mc:Choice Requires="x14">
            <control shapeId="777218" r:id="rId5" name="Option Button 2">
              <controlPr defaultSize="0" autoFill="0" autoLine="0" autoPict="0">
                <anchor moveWithCells="1">
                  <from>
                    <xdr:col>2</xdr:col>
                    <xdr:colOff>58189</xdr:colOff>
                    <xdr:row>2</xdr:row>
                    <xdr:rowOff>174567</xdr:rowOff>
                  </from>
                  <to>
                    <xdr:col>2</xdr:col>
                    <xdr:colOff>365760</xdr:colOff>
                    <xdr:row>4</xdr:row>
                    <xdr:rowOff>24938</xdr:rowOff>
                  </to>
                </anchor>
              </controlPr>
            </control>
          </mc:Choice>
        </mc:AlternateContent>
        <mc:AlternateContent xmlns:mc="http://schemas.openxmlformats.org/markup-compatibility/2006">
          <mc:Choice Requires="x14">
            <control shapeId="777231" r:id="rId6" name="Option Button 15">
              <controlPr defaultSize="0" autoFill="0" autoLine="0" autoPict="0">
                <anchor moveWithCells="1">
                  <from>
                    <xdr:col>6</xdr:col>
                    <xdr:colOff>58189</xdr:colOff>
                    <xdr:row>3</xdr:row>
                    <xdr:rowOff>257695</xdr:rowOff>
                  </from>
                  <to>
                    <xdr:col>6</xdr:col>
                    <xdr:colOff>365760</xdr:colOff>
                    <xdr:row>5</xdr:row>
                    <xdr:rowOff>0</xdr:rowOff>
                  </to>
                </anchor>
              </controlPr>
            </control>
          </mc:Choice>
        </mc:AlternateContent>
        <mc:AlternateContent xmlns:mc="http://schemas.openxmlformats.org/markup-compatibility/2006">
          <mc:Choice Requires="x14">
            <control shapeId="777232" r:id="rId7" name="Option Button 16">
              <controlPr defaultSize="0" autoFill="0" autoLine="0" autoPict="0">
                <anchor moveWithCells="1">
                  <from>
                    <xdr:col>6</xdr:col>
                    <xdr:colOff>58189</xdr:colOff>
                    <xdr:row>4</xdr:row>
                    <xdr:rowOff>174567</xdr:rowOff>
                  </from>
                  <to>
                    <xdr:col>6</xdr:col>
                    <xdr:colOff>365760</xdr:colOff>
                    <xdr:row>5</xdr:row>
                    <xdr:rowOff>191193</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26"/>
  <sheetViews>
    <sheetView zoomScale="103" zoomScaleNormal="103" workbookViewId="0">
      <selection activeCell="B70" sqref="B70"/>
    </sheetView>
  </sheetViews>
  <sheetFormatPr defaultRowHeight="12.45" x14ac:dyDescent="0.2"/>
  <cols>
    <col min="1" max="1" width="18.875" customWidth="1"/>
    <col min="2" max="2" width="14" customWidth="1"/>
    <col min="3" max="3" width="9.25" customWidth="1"/>
    <col min="4" max="4" width="11" customWidth="1"/>
    <col min="5" max="5" width="10.75" customWidth="1"/>
    <col min="6" max="6" width="10.625" bestFit="1" customWidth="1"/>
    <col min="7" max="7" width="11.875" customWidth="1"/>
    <col min="8" max="8" width="10.125" customWidth="1"/>
    <col min="9" max="9" width="9.75" customWidth="1"/>
    <col min="10" max="11" width="12.625" bestFit="1" customWidth="1"/>
    <col min="12" max="12" width="9.375" bestFit="1" customWidth="1"/>
    <col min="13" max="13" width="10.375" bestFit="1" customWidth="1"/>
    <col min="14" max="14" width="9.25" bestFit="1" customWidth="1"/>
    <col min="15" max="15" width="10.875" bestFit="1" customWidth="1"/>
    <col min="16" max="16" width="11.875" customWidth="1"/>
  </cols>
  <sheetData>
    <row r="1" spans="1:16" s="198" customFormat="1" ht="19.649999999999999" thickBot="1" x14ac:dyDescent="0.3">
      <c r="A1" s="322" t="s">
        <v>184</v>
      </c>
      <c r="B1" s="323"/>
      <c r="C1" s="323"/>
      <c r="D1" s="323"/>
      <c r="E1" s="323"/>
      <c r="F1" s="323"/>
      <c r="G1" s="323"/>
      <c r="H1" s="323"/>
      <c r="I1" s="323"/>
      <c r="J1" s="323"/>
      <c r="K1" s="323"/>
      <c r="L1" s="323"/>
      <c r="M1" s="324"/>
    </row>
    <row r="2" spans="1:16" x14ac:dyDescent="0.2">
      <c r="A2" s="19" t="s">
        <v>186</v>
      </c>
      <c r="B2" s="3">
        <f>'Customer Information'!CustomerName</f>
        <v>0</v>
      </c>
      <c r="C2" s="84"/>
      <c r="D2" s="84"/>
      <c r="E2" s="3"/>
      <c r="F2" s="3"/>
      <c r="G2" s="3"/>
      <c r="H2" s="3"/>
      <c r="I2" s="3"/>
      <c r="J2" s="196" t="s">
        <v>77</v>
      </c>
      <c r="K2" s="196" t="s">
        <v>78</v>
      </c>
      <c r="L2" s="196" t="s">
        <v>187</v>
      </c>
      <c r="M2" s="3"/>
      <c r="N2" s="3"/>
      <c r="O2" s="3"/>
      <c r="P2" s="3"/>
    </row>
    <row r="3" spans="1:16" ht="15.05" customHeight="1" x14ac:dyDescent="0.2">
      <c r="A3" s="194"/>
      <c r="B3" s="191"/>
      <c r="C3" s="192"/>
      <c r="D3" s="193"/>
      <c r="E3" s="3"/>
      <c r="F3" s="3"/>
      <c r="G3" s="3"/>
      <c r="H3" s="3"/>
      <c r="I3" s="185" t="s">
        <v>79</v>
      </c>
      <c r="J3" s="223">
        <v>19.670000000000002</v>
      </c>
      <c r="K3" s="222">
        <v>5.9799999999999999E-2</v>
      </c>
      <c r="L3" s="197">
        <f>(J3/(0.55*720)+K3)</f>
        <v>0.10947171717171716</v>
      </c>
      <c r="M3" s="3"/>
      <c r="N3" s="85"/>
      <c r="O3" s="3"/>
      <c r="P3" s="3"/>
    </row>
    <row r="4" spans="1:16" x14ac:dyDescent="0.2">
      <c r="A4" s="19" t="s">
        <v>185</v>
      </c>
      <c r="B4" s="3">
        <f>'Customer Information'!CustomerInstallAddress</f>
        <v>0</v>
      </c>
      <c r="C4" s="3"/>
      <c r="D4" s="3"/>
      <c r="E4" s="3"/>
      <c r="F4" s="3"/>
      <c r="G4" s="3"/>
      <c r="H4" s="3"/>
      <c r="I4" s="3"/>
      <c r="J4" s="3"/>
      <c r="K4" s="3"/>
      <c r="L4" s="3"/>
      <c r="M4" s="3"/>
      <c r="N4" s="32"/>
      <c r="O4" s="86"/>
      <c r="P4" s="86"/>
    </row>
    <row r="5" spans="1:16" x14ac:dyDescent="0.2">
      <c r="A5" s="19" t="s">
        <v>2</v>
      </c>
      <c r="B5" s="3">
        <f>'Customer Information'!G13</f>
        <v>0</v>
      </c>
      <c r="C5" s="3"/>
      <c r="D5" s="3"/>
      <c r="E5" s="3"/>
      <c r="F5" s="3"/>
      <c r="G5" s="3"/>
      <c r="H5" s="3"/>
      <c r="I5" s="3"/>
      <c r="J5" s="195"/>
      <c r="K5" s="3"/>
      <c r="L5" s="3"/>
      <c r="M5" s="3"/>
      <c r="N5" s="32"/>
      <c r="O5" s="86"/>
      <c r="P5" s="86"/>
    </row>
    <row r="6" spans="1:16" ht="7.55" customHeight="1" thickBot="1" x14ac:dyDescent="0.25">
      <c r="A6" s="85"/>
      <c r="B6" s="170"/>
      <c r="C6" s="170"/>
      <c r="D6" s="170"/>
      <c r="E6" s="170"/>
      <c r="F6" s="170"/>
      <c r="G6" s="170"/>
      <c r="H6" s="170"/>
      <c r="I6" s="85"/>
      <c r="J6" s="85"/>
      <c r="K6" s="85"/>
      <c r="L6" s="85"/>
      <c r="M6" s="85"/>
    </row>
    <row r="7" spans="1:16" s="86" customFormat="1" ht="13.1" thickBot="1" x14ac:dyDescent="0.25">
      <c r="A7" s="738" t="s">
        <v>123</v>
      </c>
      <c r="B7" s="739"/>
      <c r="C7" s="739"/>
      <c r="D7" s="740"/>
      <c r="E7"/>
      <c r="F7" s="733" t="s">
        <v>13</v>
      </c>
      <c r="G7" s="734"/>
      <c r="H7" s="734"/>
      <c r="I7" s="734"/>
      <c r="J7" s="735"/>
      <c r="K7" s="736" t="s">
        <v>80</v>
      </c>
      <c r="L7" s="736"/>
      <c r="M7" s="737"/>
      <c r="N7"/>
      <c r="O7"/>
      <c r="P7"/>
    </row>
    <row r="8" spans="1:16" ht="13.6" hidden="1" customHeight="1" thickBot="1" x14ac:dyDescent="0.25">
      <c r="A8" s="184"/>
      <c r="B8" s="184"/>
      <c r="C8" s="184"/>
      <c r="D8" s="184"/>
      <c r="F8" s="184"/>
      <c r="G8" s="184"/>
      <c r="H8" s="184"/>
      <c r="I8" s="184"/>
      <c r="J8" s="184"/>
      <c r="K8" s="326"/>
      <c r="L8" s="184"/>
      <c r="M8" s="184"/>
    </row>
    <row r="9" spans="1:16" ht="13.6" hidden="1" customHeight="1" thickBot="1" x14ac:dyDescent="0.25">
      <c r="A9" s="325" t="s">
        <v>123</v>
      </c>
      <c r="B9" s="325"/>
      <c r="C9" s="325"/>
      <c r="D9" s="325"/>
      <c r="F9" s="325"/>
      <c r="G9" s="325"/>
      <c r="H9" s="325" t="s">
        <v>13</v>
      </c>
      <c r="I9" s="325"/>
      <c r="J9" s="325"/>
      <c r="K9" s="327"/>
      <c r="L9" s="325"/>
      <c r="M9" s="325"/>
    </row>
    <row r="10" spans="1:16" ht="13.1" hidden="1" thickBot="1" x14ac:dyDescent="0.25">
      <c r="A10" s="328"/>
      <c r="B10" s="329"/>
      <c r="C10" s="329"/>
      <c r="D10" s="330"/>
      <c r="F10" s="328"/>
      <c r="G10" s="329"/>
      <c r="H10" s="329"/>
      <c r="I10" s="329"/>
      <c r="J10" s="330"/>
      <c r="K10" s="331"/>
      <c r="L10" s="329"/>
      <c r="M10" s="330"/>
      <c r="P10" s="96"/>
    </row>
    <row r="11" spans="1:16" ht="32.1" thickBot="1" x14ac:dyDescent="0.25">
      <c r="A11" s="336" t="s">
        <v>136</v>
      </c>
      <c r="B11" s="337" t="s">
        <v>34</v>
      </c>
      <c r="C11" s="337" t="s">
        <v>124</v>
      </c>
      <c r="D11" s="338" t="s">
        <v>125</v>
      </c>
      <c r="E11" s="340" t="s">
        <v>81</v>
      </c>
      <c r="F11" s="336" t="s">
        <v>126</v>
      </c>
      <c r="G11" s="337" t="s">
        <v>147</v>
      </c>
      <c r="H11" s="337" t="s">
        <v>34</v>
      </c>
      <c r="I11" s="337" t="s">
        <v>127</v>
      </c>
      <c r="J11" s="338" t="s">
        <v>128</v>
      </c>
      <c r="K11" s="339" t="s">
        <v>129</v>
      </c>
      <c r="L11" s="337" t="s">
        <v>82</v>
      </c>
      <c r="M11" s="338" t="s">
        <v>83</v>
      </c>
    </row>
    <row r="12" spans="1:16" ht="24.05" customHeight="1" x14ac:dyDescent="0.2">
      <c r="A12" s="332">
        <f>'Rebate Information (Rooftops)'!B11</f>
        <v>0</v>
      </c>
      <c r="B12" s="172">
        <f>'Rebate Information (Rooftops)'!C11</f>
        <v>0</v>
      </c>
      <c r="C12" s="173">
        <f>IF(ISERROR((12/(0.875*A12))*B12*'Rebate Information (Rooftops)'!A11),0,(12/(0.875*A12))*B12*'Rebate Information (Rooftops)'!A11)</f>
        <v>0</v>
      </c>
      <c r="D12" s="342">
        <f>IF(ISERROR((12/A12)*B12*'Rebate Information (Rooftops)'!A11*E12),0,(12/A12)*B12*'Rebate Information (Rooftops)'!A11*E12)</f>
        <v>0</v>
      </c>
      <c r="E12" s="341">
        <f>'Rebate Information (Rooftops)'!L11</f>
        <v>0</v>
      </c>
      <c r="F12" s="333" t="str">
        <f>CONCATENATE('Rebate Information (Rooftops)'!E11," ",'Rebate Information (Rooftops)'!F11)</f>
        <v xml:space="preserve"> </v>
      </c>
      <c r="G12" s="332">
        <f>'Rebate Information (Rooftops)'!J11</f>
        <v>0</v>
      </c>
      <c r="H12" s="497">
        <f>'Rebate Information (Rooftops)'!K11</f>
        <v>0</v>
      </c>
      <c r="I12" s="173">
        <f>IF(ISERROR((12/(0.875*G12))*H12*'Rebate Information (Rooftops)'!G11),0,(12/(0.875*G12))*H12*'Rebate Information (Rooftops)'!G11)</f>
        <v>0</v>
      </c>
      <c r="J12" s="342">
        <f>IF(ISERROR((12/G12)*H12*'Rebate Information (Rooftops)'!G11*E12),0,(12/G12)*H12*'Rebate Information (Rooftops)'!G11*E12)</f>
        <v>0</v>
      </c>
      <c r="K12" s="334">
        <f t="shared" ref="K12:K18" si="0">IFERROR(IF(ISERROR(C12-I12),"",C12-I12)*0.9,"")</f>
        <v>0</v>
      </c>
      <c r="L12" s="498">
        <f t="shared" ref="L12:L18" si="1">IF(ISERROR(D12-J12),"",D12-J12)</f>
        <v>0</v>
      </c>
      <c r="M12" s="335">
        <f t="shared" ref="M12:M18" si="2">IFERROR(L12*$L$3,"")</f>
        <v>0</v>
      </c>
    </row>
    <row r="13" spans="1:16" ht="24.05" customHeight="1" x14ac:dyDescent="0.2">
      <c r="A13" s="332">
        <f>'Rebate Information (Rooftops)'!B12</f>
        <v>0</v>
      </c>
      <c r="B13" s="172">
        <f>'Rebate Information (Rooftops)'!C12</f>
        <v>0</v>
      </c>
      <c r="C13" s="173">
        <f>IF(ISERROR((12/(0.875*A13))*B13*'Rebate Information (Rooftops)'!A12),0,(12/(0.875*A13))*B13*'Rebate Information (Rooftops)'!A12)</f>
        <v>0</v>
      </c>
      <c r="D13" s="342">
        <f>IF(ISERROR((12/A13)*B13*'Rebate Information (Rooftops)'!A12*E13),0,(12/A13)*B13*'Rebate Information (Rooftops)'!A12*E13)</f>
        <v>0</v>
      </c>
      <c r="E13" s="341">
        <f>'Rebate Information (Rooftops)'!L12</f>
        <v>0</v>
      </c>
      <c r="F13" s="333" t="str">
        <f>CONCATENATE('Rebate Information (Rooftops)'!E12," ",'Rebate Information (Rooftops)'!F12)</f>
        <v xml:space="preserve"> </v>
      </c>
      <c r="G13" s="332">
        <f>'Rebate Information (Rooftops)'!J12</f>
        <v>0</v>
      </c>
      <c r="H13" s="497">
        <f>'Rebate Information (Rooftops)'!K12</f>
        <v>0</v>
      </c>
      <c r="I13" s="173">
        <f>IF(ISERROR((12/(0.875*G13))*H13*'Rebate Information (Rooftops)'!G12),0,(12/(0.875*G13))*H13*'Rebate Information (Rooftops)'!G12)</f>
        <v>0</v>
      </c>
      <c r="J13" s="342">
        <f>IF(ISERROR((12/G13)*H13*'Rebate Information (Rooftops)'!G12*E13),0,(12/G13)*H13*'Rebate Information (Rooftops)'!G12*E13)</f>
        <v>0</v>
      </c>
      <c r="K13" s="334">
        <f t="shared" si="0"/>
        <v>0</v>
      </c>
      <c r="L13" s="498">
        <f t="shared" si="1"/>
        <v>0</v>
      </c>
      <c r="M13" s="335">
        <f t="shared" si="2"/>
        <v>0</v>
      </c>
    </row>
    <row r="14" spans="1:16" ht="24.05" customHeight="1" x14ac:dyDescent="0.2">
      <c r="A14" s="332">
        <f>'Rebate Information (Rooftops)'!B13</f>
        <v>0</v>
      </c>
      <c r="B14" s="172">
        <f>'Rebate Information (Rooftops)'!C13</f>
        <v>0</v>
      </c>
      <c r="C14" s="173">
        <f>IF(ISERROR((12/(0.875*A14))*B14*'Rebate Information (Rooftops)'!A13),0,(12/(0.875*A14))*B14*'Rebate Information (Rooftops)'!A13)</f>
        <v>0</v>
      </c>
      <c r="D14" s="342">
        <f>IF(ISERROR((12/A14)*B14*'Rebate Information (Rooftops)'!A13*E14),0,(12/A14)*B14*'Rebate Information (Rooftops)'!A13*E14)</f>
        <v>0</v>
      </c>
      <c r="E14" s="341">
        <f>'Rebate Information (Rooftops)'!L13</f>
        <v>0</v>
      </c>
      <c r="F14" s="333" t="str">
        <f>CONCATENATE('Rebate Information (Rooftops)'!E13," ",'Rebate Information (Rooftops)'!F13)</f>
        <v xml:space="preserve"> </v>
      </c>
      <c r="G14" s="332">
        <f>'Rebate Information (Rooftops)'!J13</f>
        <v>0</v>
      </c>
      <c r="H14" s="497">
        <f>'Rebate Information (Rooftops)'!K13</f>
        <v>0</v>
      </c>
      <c r="I14" s="173">
        <f>IF(ISERROR((12/(0.875*G14))*H14*'Rebate Information (Rooftops)'!G13),0,(12/(0.875*G14))*H14*'Rebate Information (Rooftops)'!G13)</f>
        <v>0</v>
      </c>
      <c r="J14" s="342">
        <f>IF(ISERROR((12/G14)*H14*'Rebate Information (Rooftops)'!G13*E14),0,(12/G14)*H14*'Rebate Information (Rooftops)'!G13*E14)</f>
        <v>0</v>
      </c>
      <c r="K14" s="334">
        <f t="shared" si="0"/>
        <v>0</v>
      </c>
      <c r="L14" s="498">
        <f t="shared" si="1"/>
        <v>0</v>
      </c>
      <c r="M14" s="335">
        <f t="shared" si="2"/>
        <v>0</v>
      </c>
    </row>
    <row r="15" spans="1:16" ht="24.05" customHeight="1" x14ac:dyDescent="0.2">
      <c r="A15" s="332">
        <f>'Rebate Information (Rooftops)'!B14</f>
        <v>0</v>
      </c>
      <c r="B15" s="172">
        <f>'Rebate Information (Rooftops)'!C14</f>
        <v>0</v>
      </c>
      <c r="C15" s="173">
        <f>IF(ISERROR((12/(0.875*A15))*B15*'Rebate Information (Rooftops)'!A14),0,(12/(0.875*A15))*B15*'Rebate Information (Rooftops)'!A14)</f>
        <v>0</v>
      </c>
      <c r="D15" s="342">
        <f>IF(ISERROR((12/A15)*B15*'Rebate Information (Rooftops)'!A14*E15),0,(12/A15)*B15*'Rebate Information (Rooftops)'!A14*E15)</f>
        <v>0</v>
      </c>
      <c r="E15" s="341">
        <f>'Rebate Information (Rooftops)'!L14</f>
        <v>0</v>
      </c>
      <c r="F15" s="333" t="str">
        <f>CONCATENATE('Rebate Information (Rooftops)'!E14," ",'Rebate Information (Rooftops)'!F14)</f>
        <v xml:space="preserve"> </v>
      </c>
      <c r="G15" s="332">
        <f>'Rebate Information (Rooftops)'!J14</f>
        <v>0</v>
      </c>
      <c r="H15" s="497">
        <f>'Rebate Information (Rooftops)'!K14</f>
        <v>0</v>
      </c>
      <c r="I15" s="173">
        <f>IF(ISERROR((12/(0.875*G15))*H15*'Rebate Information (Rooftops)'!G14),0,(12/(0.875*G15))*H15*'Rebate Information (Rooftops)'!G14)</f>
        <v>0</v>
      </c>
      <c r="J15" s="342">
        <f>IF(ISERROR((12/G15)*H15*'Rebate Information (Rooftops)'!G14*E15),0,(12/G15)*H15*'Rebate Information (Rooftops)'!G14*E15)</f>
        <v>0</v>
      </c>
      <c r="K15" s="334">
        <f t="shared" si="0"/>
        <v>0</v>
      </c>
      <c r="L15" s="498">
        <f t="shared" si="1"/>
        <v>0</v>
      </c>
      <c r="M15" s="335">
        <f t="shared" si="2"/>
        <v>0</v>
      </c>
    </row>
    <row r="16" spans="1:16" ht="24.05" customHeight="1" x14ac:dyDescent="0.2">
      <c r="A16" s="332">
        <f>'Rebate Information (Rooftops)'!B15</f>
        <v>0</v>
      </c>
      <c r="B16" s="172">
        <f>'Rebate Information (Rooftops)'!C15</f>
        <v>0</v>
      </c>
      <c r="C16" s="173">
        <f>IF(ISERROR((12/(0.875*A16))*B16*'Rebate Information (Rooftops)'!A15),0,(12/(0.875*A16))*B16*'Rebate Information (Rooftops)'!A15)</f>
        <v>0</v>
      </c>
      <c r="D16" s="342">
        <f>IF(ISERROR((12/A16)*B16*'Rebate Information (Rooftops)'!A15*E16),0,(12/A16)*B16*'Rebate Information (Rooftops)'!A15*E16)</f>
        <v>0</v>
      </c>
      <c r="E16" s="341">
        <f>'Rebate Information (Rooftops)'!L15</f>
        <v>0</v>
      </c>
      <c r="F16" s="333" t="str">
        <f>CONCATENATE('Rebate Information (Rooftops)'!E15," ",'Rebate Information (Rooftops)'!F15)</f>
        <v xml:space="preserve"> </v>
      </c>
      <c r="G16" s="332">
        <f>'Rebate Information (Rooftops)'!J15</f>
        <v>0</v>
      </c>
      <c r="H16" s="497">
        <f>'Rebate Information (Rooftops)'!K15</f>
        <v>0</v>
      </c>
      <c r="I16" s="173">
        <f>IF(ISERROR((12/(0.875*G16))*H16*'Rebate Information (Rooftops)'!G15),0,(12/(0.875*G16))*H16*'Rebate Information (Rooftops)'!G15)</f>
        <v>0</v>
      </c>
      <c r="J16" s="342">
        <f>IF(ISERROR((12/G16)*H16*'Rebate Information (Rooftops)'!G15*E16),0,(12/G16)*H16*'Rebate Information (Rooftops)'!G15*E16)</f>
        <v>0</v>
      </c>
      <c r="K16" s="334">
        <f t="shared" si="0"/>
        <v>0</v>
      </c>
      <c r="L16" s="498">
        <f t="shared" si="1"/>
        <v>0</v>
      </c>
      <c r="M16" s="335">
        <f t="shared" si="2"/>
        <v>0</v>
      </c>
    </row>
    <row r="17" spans="1:13" ht="24.05" customHeight="1" x14ac:dyDescent="0.2">
      <c r="A17" s="332">
        <f>'Rebate Information (Rooftops)'!B16</f>
        <v>0</v>
      </c>
      <c r="B17" s="172">
        <f>'Rebate Information (Rooftops)'!C16</f>
        <v>0</v>
      </c>
      <c r="C17" s="173">
        <f>IF(ISERROR((12/(0.875*A17))*B17*'Rebate Information (Rooftops)'!A16),0,(12/(0.875*A17))*B17*'Rebate Information (Rooftops)'!A16)</f>
        <v>0</v>
      </c>
      <c r="D17" s="342">
        <f>IF(ISERROR((12/A17)*B17*'Rebate Information (Rooftops)'!A16*E17),0,(12/A17)*B17*'Rebate Information (Rooftops)'!A16*E17)</f>
        <v>0</v>
      </c>
      <c r="E17" s="341">
        <f>'Rebate Information (Rooftops)'!L16</f>
        <v>0</v>
      </c>
      <c r="F17" s="333" t="str">
        <f>CONCATENATE('Rebate Information (Rooftops)'!E16," ",'Rebate Information (Rooftops)'!F16)</f>
        <v xml:space="preserve"> </v>
      </c>
      <c r="G17" s="332">
        <f>'Rebate Information (Rooftops)'!J16</f>
        <v>0</v>
      </c>
      <c r="H17" s="497">
        <f>'Rebate Information (Rooftops)'!K16</f>
        <v>0</v>
      </c>
      <c r="I17" s="173">
        <f>IF(ISERROR((12/(0.875*G17))*H17*'Rebate Information (Rooftops)'!G16),0,(12/(0.875*G17))*H17*'Rebate Information (Rooftops)'!G16)</f>
        <v>0</v>
      </c>
      <c r="J17" s="342">
        <f>IF(ISERROR((12/G17)*H17*'Rebate Information (Rooftops)'!G16*E17),0,(12/G17)*H17*'Rebate Information (Rooftops)'!G16*E17)</f>
        <v>0</v>
      </c>
      <c r="K17" s="334">
        <f t="shared" si="0"/>
        <v>0</v>
      </c>
      <c r="L17" s="498">
        <f t="shared" si="1"/>
        <v>0</v>
      </c>
      <c r="M17" s="335">
        <f t="shared" si="2"/>
        <v>0</v>
      </c>
    </row>
    <row r="18" spans="1:13" ht="24.05" customHeight="1" x14ac:dyDescent="0.2">
      <c r="A18" s="332">
        <f>'Rebate Information (Rooftops)'!B17</f>
        <v>0</v>
      </c>
      <c r="B18" s="172">
        <f>'Rebate Information (Rooftops)'!C17</f>
        <v>0</v>
      </c>
      <c r="C18" s="173">
        <f>IF(ISERROR((12/(0.875*A18))*B18*'Rebate Information (Rooftops)'!A17),0,(12/(0.875*A18))*B18*'Rebate Information (Rooftops)'!A17)</f>
        <v>0</v>
      </c>
      <c r="D18" s="342">
        <f>IF(ISERROR((12/A18)*B18*'Rebate Information (Rooftops)'!A17*E18),0,(12/A18)*B18*'Rebate Information (Rooftops)'!A17*E18)</f>
        <v>0</v>
      </c>
      <c r="E18" s="341">
        <f>'Rebate Information (Rooftops)'!L17</f>
        <v>0</v>
      </c>
      <c r="F18" s="333" t="str">
        <f>CONCATENATE('Rebate Information (Rooftops)'!E17," ",'Rebate Information (Rooftops)'!F17)</f>
        <v xml:space="preserve"> </v>
      </c>
      <c r="G18" s="332">
        <f>'Rebate Information (Rooftops)'!J17</f>
        <v>0</v>
      </c>
      <c r="H18" s="497">
        <f>'Rebate Information (Rooftops)'!K17</f>
        <v>0</v>
      </c>
      <c r="I18" s="173">
        <f>IF(ISERROR((12/(0.875*G18))*H18*'Rebate Information (Rooftops)'!G17),0,(12/(0.875*G18))*H18*'Rebate Information (Rooftops)'!G17)</f>
        <v>0</v>
      </c>
      <c r="J18" s="342">
        <f>IF(ISERROR((12/G18)*H18*'Rebate Information (Rooftops)'!G17*E18),0,(12/G18)*H18*'Rebate Information (Rooftops)'!G17*E18)</f>
        <v>0</v>
      </c>
      <c r="K18" s="334">
        <f t="shared" si="0"/>
        <v>0</v>
      </c>
      <c r="L18" s="498">
        <f t="shared" si="1"/>
        <v>0</v>
      </c>
      <c r="M18" s="335">
        <f t="shared" si="2"/>
        <v>0</v>
      </c>
    </row>
    <row r="19" spans="1:13" ht="8.1999999999999993" customHeight="1" thickBot="1" x14ac:dyDescent="0.25"/>
    <row r="20" spans="1:13" ht="24.05" customHeight="1" thickBot="1" x14ac:dyDescent="0.25">
      <c r="A20" s="285" t="s">
        <v>123</v>
      </c>
      <c r="B20" s="286"/>
      <c r="C20" s="287" t="s">
        <v>129</v>
      </c>
      <c r="D20" s="288" t="s">
        <v>82</v>
      </c>
      <c r="F20" s="296" t="s">
        <v>13</v>
      </c>
      <c r="G20" s="297"/>
      <c r="H20" s="297"/>
      <c r="I20" s="298" t="s">
        <v>129</v>
      </c>
      <c r="J20" s="299" t="s">
        <v>82</v>
      </c>
    </row>
    <row r="21" spans="1:13" ht="20.95" customHeight="1" x14ac:dyDescent="0.2">
      <c r="A21" s="289"/>
      <c r="B21" s="290" t="s">
        <v>176</v>
      </c>
      <c r="C21" s="186">
        <f>SUM(C12:C18)</f>
        <v>0</v>
      </c>
      <c r="D21" s="291">
        <f>SUM(D12:D18)</f>
        <v>0</v>
      </c>
      <c r="F21" s="300"/>
      <c r="G21" s="301"/>
      <c r="H21" s="302" t="s">
        <v>176</v>
      </c>
      <c r="I21" s="187">
        <f>SUM(I12:I18)</f>
        <v>0</v>
      </c>
      <c r="J21" s="303">
        <f>SUM(J12:J18)</f>
        <v>0</v>
      </c>
    </row>
    <row r="22" spans="1:13" ht="20.95" customHeight="1" thickBot="1" x14ac:dyDescent="0.25">
      <c r="A22" s="731" t="s">
        <v>177</v>
      </c>
      <c r="B22" s="732"/>
      <c r="C22" s="294"/>
      <c r="D22" s="295">
        <f>D21*$L$3</f>
        <v>0</v>
      </c>
      <c r="E22" s="284"/>
      <c r="F22" s="741" t="s">
        <v>178</v>
      </c>
      <c r="G22" s="742"/>
      <c r="H22" s="742"/>
      <c r="I22" s="306"/>
      <c r="J22" s="307">
        <f>J21*$L$3</f>
        <v>0</v>
      </c>
    </row>
    <row r="23" spans="1:13" ht="7.55" customHeight="1" thickBot="1" x14ac:dyDescent="0.25">
      <c r="E23" s="88"/>
    </row>
    <row r="24" spans="1:13" ht="13.1" thickBot="1" x14ac:dyDescent="0.25">
      <c r="F24" s="308" t="s">
        <v>87</v>
      </c>
      <c r="G24" s="309"/>
      <c r="H24" s="309"/>
      <c r="I24" s="310" t="s">
        <v>129</v>
      </c>
      <c r="J24" s="311" t="s">
        <v>82</v>
      </c>
    </row>
    <row r="25" spans="1:13" ht="20.95" customHeight="1" x14ac:dyDescent="0.2">
      <c r="F25" s="726" t="s">
        <v>179</v>
      </c>
      <c r="G25" s="727"/>
      <c r="H25" s="728"/>
      <c r="I25" s="199">
        <f>(C21-I21)*0.9</f>
        <v>0</v>
      </c>
      <c r="J25" s="315">
        <f>D21-J21</f>
        <v>0</v>
      </c>
    </row>
    <row r="26" spans="1:13" ht="20.95" customHeight="1" thickBot="1" x14ac:dyDescent="0.25">
      <c r="F26" s="729" t="s">
        <v>180</v>
      </c>
      <c r="G26" s="730"/>
      <c r="H26" s="730"/>
      <c r="I26" s="189"/>
      <c r="J26" s="318">
        <f>D22-J22</f>
        <v>0</v>
      </c>
    </row>
  </sheetData>
  <sheetProtection selectLockedCells="1"/>
  <mergeCells count="7">
    <mergeCell ref="F25:H25"/>
    <mergeCell ref="F26:H26"/>
    <mergeCell ref="A22:B22"/>
    <mergeCell ref="F7:J7"/>
    <mergeCell ref="K7:M7"/>
    <mergeCell ref="A7:D7"/>
    <mergeCell ref="F22:H22"/>
  </mergeCells>
  <phoneticPr fontId="0" type="noConversion"/>
  <conditionalFormatting sqref="F10 D12 M10 L11:M11 A10:C12 F12 E11:E12 H12:I12 M12">
    <cfRule type="cellIs" dxfId="72" priority="26" stopIfTrue="1" operator="equal">
      <formula>0</formula>
    </cfRule>
  </conditionalFormatting>
  <conditionalFormatting sqref="G12">
    <cfRule type="cellIs" dxfId="71" priority="20" stopIfTrue="1" operator="equal">
      <formula>0</formula>
    </cfRule>
  </conditionalFormatting>
  <conditionalFormatting sqref="J12">
    <cfRule type="cellIs" dxfId="70" priority="19" stopIfTrue="1" operator="equal">
      <formula>0</formula>
    </cfRule>
  </conditionalFormatting>
  <conditionalFormatting sqref="A13:F13 H13:I13 M13">
    <cfRule type="cellIs" dxfId="69" priority="18" stopIfTrue="1" operator="equal">
      <formula>0</formula>
    </cfRule>
  </conditionalFormatting>
  <conditionalFormatting sqref="G13">
    <cfRule type="cellIs" dxfId="68" priority="17" stopIfTrue="1" operator="equal">
      <formula>0</formula>
    </cfRule>
  </conditionalFormatting>
  <conditionalFormatting sqref="J13">
    <cfRule type="cellIs" dxfId="67" priority="16" stopIfTrue="1" operator="equal">
      <formula>0</formula>
    </cfRule>
  </conditionalFormatting>
  <conditionalFormatting sqref="A14:F14 H14:I14 M14">
    <cfRule type="cellIs" dxfId="66" priority="15" stopIfTrue="1" operator="equal">
      <formula>0</formula>
    </cfRule>
  </conditionalFormatting>
  <conditionalFormatting sqref="G14">
    <cfRule type="cellIs" dxfId="65" priority="14" stopIfTrue="1" operator="equal">
      <formula>0</formula>
    </cfRule>
  </conditionalFormatting>
  <conditionalFormatting sqref="J14">
    <cfRule type="cellIs" dxfId="64" priority="13" stopIfTrue="1" operator="equal">
      <formula>0</formula>
    </cfRule>
  </conditionalFormatting>
  <conditionalFormatting sqref="A15:F15 H15:I15 M15">
    <cfRule type="cellIs" dxfId="63" priority="12" stopIfTrue="1" operator="equal">
      <formula>0</formula>
    </cfRule>
  </conditionalFormatting>
  <conditionalFormatting sqref="G15">
    <cfRule type="cellIs" dxfId="62" priority="11" stopIfTrue="1" operator="equal">
      <formula>0</formula>
    </cfRule>
  </conditionalFormatting>
  <conditionalFormatting sqref="J15">
    <cfRule type="cellIs" dxfId="61" priority="10" stopIfTrue="1" operator="equal">
      <formula>0</formula>
    </cfRule>
  </conditionalFormatting>
  <conditionalFormatting sqref="A16:F16 H16:I16 M16">
    <cfRule type="cellIs" dxfId="60" priority="9" stopIfTrue="1" operator="equal">
      <formula>0</formula>
    </cfRule>
  </conditionalFormatting>
  <conditionalFormatting sqref="G16">
    <cfRule type="cellIs" dxfId="59" priority="8" stopIfTrue="1" operator="equal">
      <formula>0</formula>
    </cfRule>
  </conditionalFormatting>
  <conditionalFormatting sqref="J16">
    <cfRule type="cellIs" dxfId="58" priority="7" stopIfTrue="1" operator="equal">
      <formula>0</formula>
    </cfRule>
  </conditionalFormatting>
  <conditionalFormatting sqref="A17:F17 H17:I17 M17">
    <cfRule type="cellIs" dxfId="57" priority="6" stopIfTrue="1" operator="equal">
      <formula>0</formula>
    </cfRule>
  </conditionalFormatting>
  <conditionalFormatting sqref="G17">
    <cfRule type="cellIs" dxfId="56" priority="5" stopIfTrue="1" operator="equal">
      <formula>0</formula>
    </cfRule>
  </conditionalFormatting>
  <conditionalFormatting sqref="J17">
    <cfRule type="cellIs" dxfId="55" priority="4" stopIfTrue="1" operator="equal">
      <formula>0</formula>
    </cfRule>
  </conditionalFormatting>
  <conditionalFormatting sqref="A18:F18 H18:I18 M18">
    <cfRule type="cellIs" dxfId="54" priority="3" stopIfTrue="1" operator="equal">
      <formula>0</formula>
    </cfRule>
  </conditionalFormatting>
  <conditionalFormatting sqref="G18">
    <cfRule type="cellIs" dxfId="53" priority="2" stopIfTrue="1" operator="equal">
      <formula>0</formula>
    </cfRule>
  </conditionalFormatting>
  <conditionalFormatting sqref="J18">
    <cfRule type="cellIs" dxfId="52" priority="1"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AB35"/>
  <sheetViews>
    <sheetView zoomScale="85" zoomScaleNormal="85" workbookViewId="0">
      <selection activeCell="M28" sqref="M28:N28"/>
    </sheetView>
  </sheetViews>
  <sheetFormatPr defaultRowHeight="12.45" x14ac:dyDescent="0.2"/>
  <cols>
    <col min="1" max="1" width="8.375" customWidth="1"/>
    <col min="2" max="2" width="9.125" customWidth="1"/>
    <col min="3" max="3" width="11" customWidth="1"/>
    <col min="4" max="4" width="9.625" customWidth="1"/>
    <col min="5" max="5" width="8.625" customWidth="1"/>
    <col min="6" max="6" width="11.875" customWidth="1"/>
    <col min="7" max="7" width="13.75" customWidth="1"/>
    <col min="8" max="8" width="15.25" customWidth="1"/>
    <col min="9" max="9" width="31.375" bestFit="1" customWidth="1"/>
    <col min="10" max="10" width="9.875" bestFit="1" customWidth="1"/>
    <col min="11" max="11" width="9.625" bestFit="1" customWidth="1"/>
    <col min="12" max="12" width="8.375" customWidth="1"/>
    <col min="13" max="13" width="11" customWidth="1"/>
    <col min="14" max="14" width="10.625" customWidth="1"/>
    <col min="15" max="15" width="10.75" customWidth="1"/>
    <col min="16" max="21" width="12.875" customWidth="1"/>
  </cols>
  <sheetData>
    <row r="2" spans="1:28" s="2" customFormat="1" ht="20.3" x14ac:dyDescent="0.2">
      <c r="A2" s="763" t="s">
        <v>71</v>
      </c>
      <c r="B2" s="764"/>
      <c r="C2" s="764"/>
      <c r="D2" s="764"/>
      <c r="E2" s="764"/>
      <c r="F2" s="764"/>
      <c r="G2" s="764"/>
      <c r="H2" s="764"/>
      <c r="I2" s="764"/>
      <c r="J2" s="764"/>
      <c r="K2" s="764"/>
      <c r="L2" s="764"/>
      <c r="M2" s="764"/>
      <c r="N2" s="764"/>
      <c r="O2" s="764"/>
      <c r="P2" s="764"/>
      <c r="Q2" s="764"/>
      <c r="R2" s="764"/>
      <c r="S2" s="764"/>
      <c r="T2" s="765"/>
      <c r="U2" s="4"/>
      <c r="V2" s="4"/>
      <c r="W2" s="4"/>
      <c r="X2" s="4"/>
      <c r="Y2" s="4"/>
      <c r="Z2" s="4"/>
    </row>
    <row r="3" spans="1:28" ht="17.2" customHeight="1" x14ac:dyDescent="0.2">
      <c r="A3" s="140" t="s">
        <v>130</v>
      </c>
      <c r="B3" s="89"/>
      <c r="C3" s="89"/>
      <c r="D3" s="692" t="s">
        <v>76</v>
      </c>
      <c r="E3" s="692"/>
      <c r="F3" s="692"/>
      <c r="G3" s="76"/>
      <c r="H3" s="76"/>
      <c r="I3" s="76"/>
      <c r="J3" s="76"/>
      <c r="K3" s="76"/>
      <c r="L3" s="76"/>
      <c r="M3" s="76"/>
      <c r="N3" s="76"/>
      <c r="O3" s="76"/>
      <c r="P3" s="76"/>
      <c r="Q3" s="76"/>
      <c r="R3" s="76"/>
      <c r="S3" s="76"/>
      <c r="T3" s="76"/>
    </row>
    <row r="4" spans="1:28" x14ac:dyDescent="0.2">
      <c r="A4" s="89"/>
      <c r="B4" s="92">
        <v>2</v>
      </c>
      <c r="C4" s="89"/>
      <c r="D4" s="693" t="s">
        <v>75</v>
      </c>
      <c r="E4" s="693"/>
      <c r="F4" s="693"/>
      <c r="G4" s="76"/>
      <c r="H4" s="76"/>
      <c r="I4" s="76"/>
      <c r="J4" s="76"/>
      <c r="K4" s="76"/>
      <c r="L4" s="76"/>
      <c r="M4" s="76"/>
      <c r="N4" s="76"/>
      <c r="O4" s="76"/>
      <c r="P4" s="76"/>
      <c r="Q4" s="76"/>
      <c r="R4" s="76"/>
      <c r="S4" s="76"/>
      <c r="T4" s="76"/>
    </row>
    <row r="5" spans="1:28" x14ac:dyDescent="0.2">
      <c r="A5" s="89"/>
      <c r="B5" s="92"/>
      <c r="C5" s="89"/>
      <c r="D5" s="91"/>
      <c r="E5" s="94"/>
      <c r="F5" s="94"/>
      <c r="G5" s="77"/>
      <c r="H5" s="77"/>
      <c r="I5" s="77"/>
      <c r="J5" s="77"/>
      <c r="K5" s="77"/>
      <c r="L5" s="77"/>
      <c r="M5" s="77"/>
      <c r="N5" s="77"/>
      <c r="O5" s="77"/>
      <c r="P5" s="77"/>
      <c r="Q5" s="77"/>
      <c r="R5" s="77"/>
      <c r="S5" s="77"/>
      <c r="T5" s="77"/>
    </row>
    <row r="6" spans="1:28" ht="26.2" customHeight="1" x14ac:dyDescent="0.2">
      <c r="A6" s="767" t="str">
        <f>IF(B4=1,"Base Efficiency","EXISTING SYSTEM                             (PLEASE ENTER)")</f>
        <v>EXISTING SYSTEM                             (PLEASE ENTER)</v>
      </c>
      <c r="B6" s="768"/>
      <c r="C6" s="769"/>
      <c r="D6" s="748" t="s">
        <v>13</v>
      </c>
      <c r="E6" s="749"/>
      <c r="F6" s="749"/>
      <c r="G6" s="749"/>
      <c r="H6" s="749"/>
      <c r="I6" s="749"/>
      <c r="J6" s="749"/>
      <c r="K6" s="749"/>
      <c r="L6" s="749"/>
      <c r="M6" s="749"/>
      <c r="N6" s="772"/>
      <c r="O6" s="748" t="s">
        <v>14</v>
      </c>
      <c r="P6" s="749"/>
      <c r="Q6" s="749"/>
      <c r="R6" s="749"/>
      <c r="S6" s="749"/>
      <c r="T6" s="203"/>
    </row>
    <row r="7" spans="1:28" ht="26.2" customHeight="1" x14ac:dyDescent="0.2">
      <c r="A7" s="153" t="s">
        <v>16</v>
      </c>
      <c r="B7" s="153" t="s">
        <v>17</v>
      </c>
      <c r="C7" s="162" t="s">
        <v>18</v>
      </c>
      <c r="D7" s="163" t="s">
        <v>19</v>
      </c>
      <c r="E7" s="766" t="s">
        <v>20</v>
      </c>
      <c r="F7" s="766"/>
      <c r="G7" s="153" t="s">
        <v>21</v>
      </c>
      <c r="H7" s="153" t="s">
        <v>22</v>
      </c>
      <c r="I7" s="153" t="s">
        <v>23</v>
      </c>
      <c r="J7" s="153" t="s">
        <v>23</v>
      </c>
      <c r="K7" s="153" t="s">
        <v>24</v>
      </c>
      <c r="L7" s="153" t="s">
        <v>25</v>
      </c>
      <c r="M7" s="153" t="s">
        <v>26</v>
      </c>
      <c r="N7" s="162" t="s">
        <v>27</v>
      </c>
      <c r="O7" s="163" t="s">
        <v>28</v>
      </c>
      <c r="P7" s="153" t="s">
        <v>29</v>
      </c>
      <c r="Q7" s="153" t="s">
        <v>30</v>
      </c>
      <c r="R7" s="153" t="s">
        <v>31</v>
      </c>
      <c r="S7" s="153" t="s">
        <v>32</v>
      </c>
      <c r="T7" s="153" t="s">
        <v>33</v>
      </c>
      <c r="U7" s="5"/>
      <c r="X7" s="7"/>
      <c r="Y7" s="7"/>
      <c r="Z7" s="7"/>
      <c r="AA7" s="7"/>
      <c r="AB7" s="7"/>
    </row>
    <row r="8" spans="1:28" s="12" customFormat="1" ht="56.3" customHeight="1" x14ac:dyDescent="0.2">
      <c r="A8" s="154" t="s">
        <v>45</v>
      </c>
      <c r="B8" s="155" t="str">
        <f>IF(B4=1,"Base IPLV","Existing kW/Ton")</f>
        <v>Existing kW/Ton</v>
      </c>
      <c r="C8" s="155" t="s">
        <v>34</v>
      </c>
      <c r="D8" s="156" t="s">
        <v>55</v>
      </c>
      <c r="E8" s="773" t="s">
        <v>134</v>
      </c>
      <c r="F8" s="774"/>
      <c r="G8" s="157" t="s">
        <v>35</v>
      </c>
      <c r="H8" s="158" t="s">
        <v>56</v>
      </c>
      <c r="I8" s="159" t="s">
        <v>182</v>
      </c>
      <c r="J8" s="158" t="s">
        <v>57</v>
      </c>
      <c r="K8" s="158" t="s">
        <v>58</v>
      </c>
      <c r="L8" s="159" t="s">
        <v>34</v>
      </c>
      <c r="M8" s="158" t="s">
        <v>59</v>
      </c>
      <c r="N8" s="164" t="s">
        <v>36</v>
      </c>
      <c r="O8" s="160" t="s">
        <v>60</v>
      </c>
      <c r="P8" s="158" t="s">
        <v>61</v>
      </c>
      <c r="Q8" s="158" t="s">
        <v>62</v>
      </c>
      <c r="R8" s="158" t="s">
        <v>159</v>
      </c>
      <c r="S8" s="158" t="s">
        <v>70</v>
      </c>
      <c r="T8" s="161" t="s">
        <v>63</v>
      </c>
      <c r="U8" s="6"/>
      <c r="X8" s="7"/>
      <c r="Y8" s="7"/>
      <c r="Z8" s="7"/>
      <c r="AA8" s="7"/>
      <c r="AB8" s="7"/>
    </row>
    <row r="9" spans="1:28" s="7" customFormat="1" ht="24.9" customHeight="1" x14ac:dyDescent="0.2">
      <c r="A9" s="142">
        <v>55</v>
      </c>
      <c r="B9" s="201">
        <v>0.65000000000000013</v>
      </c>
      <c r="C9" s="143">
        <v>1</v>
      </c>
      <c r="D9" s="144" t="s">
        <v>48</v>
      </c>
      <c r="E9" s="770" t="s">
        <v>115</v>
      </c>
      <c r="F9" s="771"/>
      <c r="G9" s="142" t="s">
        <v>188</v>
      </c>
      <c r="H9" s="142">
        <v>55</v>
      </c>
      <c r="I9" s="142" t="str">
        <f>IF(ISERROR(VLOOKUP($D9,$A$24:$N$29,6,FALSE)),"",VLOOKUP($D9,$A$24:$N$29,6,FALSE))</f>
        <v>0.74  FLV,           0.63  IPLV</v>
      </c>
      <c r="J9" s="106">
        <f>IF(ISERROR(VLOOKUP($D9,$A$24:$N$29,11,FALSE)),"",VLOOKUP($D9,$A$24:$N$29,11,FALSE))</f>
        <v>0.63</v>
      </c>
      <c r="K9" s="142">
        <v>0.5</v>
      </c>
      <c r="L9" s="142">
        <v>1</v>
      </c>
      <c r="M9" s="142">
        <v>640</v>
      </c>
      <c r="N9" s="165">
        <v>2000</v>
      </c>
      <c r="O9" s="107">
        <f t="shared" ref="O9:O18" si="0">IF(ISERROR(VLOOKUP($D9,$A$24:$K$29,8,FALSE)),"",VLOOKUP($D9,$A$24:$K$29,8,FALSE))</f>
        <v>15</v>
      </c>
      <c r="P9" s="108">
        <f t="shared" ref="P9:P18" si="1">IF(ISERROR(H9*L9*O9),"",(H9*L9*O9))</f>
        <v>825</v>
      </c>
      <c r="Q9" s="109">
        <f t="shared" ref="Q9:Q18" si="2">IF(D9="","",IF((J9&gt;=K9),J9-K9,0))</f>
        <v>0.13</v>
      </c>
      <c r="R9" s="108">
        <f t="shared" ref="R9:R18" si="3">IF(ISERROR(VLOOKUP($D9,$A$24:$K$29,9,FALSE)),"",VLOOKUP($D9,$A$24:$K$29,9,FALSE))</f>
        <v>3.5</v>
      </c>
      <c r="S9" s="108">
        <f t="shared" ref="S9:S18" si="4">IF(ISERROR(Q9*R9*H9*L9*100),"",(Q9*R9*H9*L9*100))</f>
        <v>2502.5</v>
      </c>
      <c r="T9" s="108">
        <f>IF(ISERROR(P9+S9),"",(P9+S9))</f>
        <v>3327.5</v>
      </c>
      <c r="U9" s="6"/>
      <c r="X9"/>
      <c r="Y9"/>
      <c r="Z9" s="126"/>
      <c r="AA9"/>
      <c r="AB9"/>
    </row>
    <row r="10" spans="1:28" s="7" customFormat="1" ht="24.9" customHeight="1" x14ac:dyDescent="0.2">
      <c r="A10" s="142">
        <v>55</v>
      </c>
      <c r="B10" s="202">
        <v>0.65000000000000013</v>
      </c>
      <c r="C10" s="143">
        <v>1</v>
      </c>
      <c r="D10" s="144" t="s">
        <v>48</v>
      </c>
      <c r="E10" s="746" t="s">
        <v>112</v>
      </c>
      <c r="F10" s="747"/>
      <c r="G10" s="142" t="s">
        <v>190</v>
      </c>
      <c r="H10" s="142">
        <v>55</v>
      </c>
      <c r="I10" s="142" t="str">
        <f t="shared" ref="I10:I18" si="5">IF(ISERROR(VLOOKUP($D10,$A$24:$N$29,6,FALSE)),"",VLOOKUP($D10,$A$24:$N$29,6,FALSE))</f>
        <v>0.74  FLV,           0.63  IPLV</v>
      </c>
      <c r="J10" s="106">
        <f t="shared" ref="J10:J18" si="6">IF(ISERROR(VLOOKUP($D10,$A$24:$N$29,11,FALSE)),"",VLOOKUP($D10,$A$24:$N$29,11,FALSE))</f>
        <v>0.63</v>
      </c>
      <c r="K10" s="142">
        <v>0.6</v>
      </c>
      <c r="L10" s="142">
        <v>1</v>
      </c>
      <c r="M10" s="142">
        <v>640</v>
      </c>
      <c r="N10" s="165">
        <v>2000</v>
      </c>
      <c r="O10" s="107">
        <f t="shared" si="0"/>
        <v>15</v>
      </c>
      <c r="P10" s="108">
        <f t="shared" si="1"/>
        <v>825</v>
      </c>
      <c r="Q10" s="109">
        <f t="shared" si="2"/>
        <v>3.0000000000000027E-2</v>
      </c>
      <c r="R10" s="108">
        <f t="shared" si="3"/>
        <v>3.5</v>
      </c>
      <c r="S10" s="108">
        <f t="shared" si="4"/>
        <v>577.50000000000045</v>
      </c>
      <c r="T10" s="108">
        <f t="shared" ref="T10:T18" si="7">IF(ISERROR(P10+S10),"",(P10+S10))</f>
        <v>1402.5000000000005</v>
      </c>
      <c r="U10" s="6"/>
      <c r="X10"/>
      <c r="Y10"/>
      <c r="Z10"/>
      <c r="AA10"/>
      <c r="AB10"/>
    </row>
    <row r="11" spans="1:28" s="7" customFormat="1" ht="24.9" customHeight="1" x14ac:dyDescent="0.2">
      <c r="A11" s="142"/>
      <c r="B11" s="202"/>
      <c r="C11" s="143"/>
      <c r="D11" s="144"/>
      <c r="E11" s="746"/>
      <c r="F11" s="747"/>
      <c r="G11" s="142"/>
      <c r="H11" s="142"/>
      <c r="I11" s="142" t="str">
        <f t="shared" si="5"/>
        <v/>
      </c>
      <c r="J11" s="106" t="str">
        <f t="shared" si="6"/>
        <v/>
      </c>
      <c r="K11" s="142"/>
      <c r="L11" s="142"/>
      <c r="M11" s="142"/>
      <c r="N11" s="165"/>
      <c r="O11" s="107" t="str">
        <f t="shared" si="0"/>
        <v/>
      </c>
      <c r="P11" s="108" t="str">
        <f t="shared" si="1"/>
        <v/>
      </c>
      <c r="Q11" s="109" t="str">
        <f t="shared" si="2"/>
        <v/>
      </c>
      <c r="R11" s="108" t="str">
        <f t="shared" si="3"/>
        <v/>
      </c>
      <c r="S11" s="108" t="str">
        <f t="shared" si="4"/>
        <v/>
      </c>
      <c r="T11" s="108" t="str">
        <f t="shared" si="7"/>
        <v/>
      </c>
      <c r="U11" s="6"/>
      <c r="X11"/>
      <c r="Y11"/>
      <c r="Z11"/>
      <c r="AA11"/>
      <c r="AB11"/>
    </row>
    <row r="12" spans="1:28" s="7" customFormat="1" ht="24.9" customHeight="1" x14ac:dyDescent="0.2">
      <c r="A12" s="142"/>
      <c r="B12" s="202"/>
      <c r="C12" s="143"/>
      <c r="D12" s="144"/>
      <c r="E12" s="746"/>
      <c r="F12" s="747"/>
      <c r="G12" s="142"/>
      <c r="H12" s="142"/>
      <c r="I12" s="142" t="str">
        <f t="shared" si="5"/>
        <v/>
      </c>
      <c r="J12" s="106" t="str">
        <f t="shared" si="6"/>
        <v/>
      </c>
      <c r="K12" s="142"/>
      <c r="L12" s="142"/>
      <c r="M12" s="142"/>
      <c r="N12" s="165"/>
      <c r="O12" s="107" t="str">
        <f t="shared" si="0"/>
        <v/>
      </c>
      <c r="P12" s="108" t="str">
        <f t="shared" si="1"/>
        <v/>
      </c>
      <c r="Q12" s="109" t="str">
        <f t="shared" si="2"/>
        <v/>
      </c>
      <c r="R12" s="108" t="str">
        <f t="shared" si="3"/>
        <v/>
      </c>
      <c r="S12" s="108" t="str">
        <f t="shared" si="4"/>
        <v/>
      </c>
      <c r="T12" s="108" t="str">
        <f t="shared" si="7"/>
        <v/>
      </c>
      <c r="U12" s="6"/>
      <c r="X12"/>
      <c r="Y12"/>
      <c r="Z12"/>
      <c r="AA12"/>
      <c r="AB12"/>
    </row>
    <row r="13" spans="1:28" s="7" customFormat="1" ht="24.9" customHeight="1" x14ac:dyDescent="0.2">
      <c r="A13" s="142"/>
      <c r="B13" s="202"/>
      <c r="C13" s="143"/>
      <c r="D13" s="144"/>
      <c r="E13" s="746"/>
      <c r="F13" s="747"/>
      <c r="G13" s="142"/>
      <c r="H13" s="142"/>
      <c r="I13" s="142" t="str">
        <f t="shared" si="5"/>
        <v/>
      </c>
      <c r="J13" s="106" t="str">
        <f t="shared" si="6"/>
        <v/>
      </c>
      <c r="K13" s="142"/>
      <c r="L13" s="142"/>
      <c r="M13" s="142"/>
      <c r="N13" s="165"/>
      <c r="O13" s="107" t="str">
        <f t="shared" si="0"/>
        <v/>
      </c>
      <c r="P13" s="108" t="str">
        <f t="shared" si="1"/>
        <v/>
      </c>
      <c r="Q13" s="109" t="str">
        <f t="shared" si="2"/>
        <v/>
      </c>
      <c r="R13" s="108" t="str">
        <f t="shared" si="3"/>
        <v/>
      </c>
      <c r="S13" s="108" t="str">
        <f t="shared" si="4"/>
        <v/>
      </c>
      <c r="T13" s="108" t="str">
        <f t="shared" si="7"/>
        <v/>
      </c>
      <c r="U13" s="6"/>
      <c r="X13"/>
      <c r="Y13"/>
      <c r="Z13"/>
      <c r="AA13"/>
      <c r="AB13"/>
    </row>
    <row r="14" spans="1:28" s="7" customFormat="1" ht="24.9" customHeight="1" x14ac:dyDescent="0.2">
      <c r="A14" s="142"/>
      <c r="B14" s="202"/>
      <c r="C14" s="143"/>
      <c r="D14" s="144"/>
      <c r="E14" s="746"/>
      <c r="F14" s="747"/>
      <c r="G14" s="142"/>
      <c r="H14" s="142"/>
      <c r="I14" s="142" t="str">
        <f t="shared" si="5"/>
        <v/>
      </c>
      <c r="J14" s="106" t="str">
        <f t="shared" si="6"/>
        <v/>
      </c>
      <c r="K14" s="142"/>
      <c r="L14" s="142"/>
      <c r="M14" s="142"/>
      <c r="N14" s="165"/>
      <c r="O14" s="107" t="str">
        <f t="shared" si="0"/>
        <v/>
      </c>
      <c r="P14" s="108" t="str">
        <f t="shared" si="1"/>
        <v/>
      </c>
      <c r="Q14" s="109" t="str">
        <f t="shared" si="2"/>
        <v/>
      </c>
      <c r="R14" s="108" t="str">
        <f t="shared" si="3"/>
        <v/>
      </c>
      <c r="S14" s="108" t="str">
        <f t="shared" si="4"/>
        <v/>
      </c>
      <c r="T14" s="108" t="str">
        <f t="shared" si="7"/>
        <v/>
      </c>
      <c r="U14" s="6"/>
      <c r="X14"/>
      <c r="Y14"/>
      <c r="Z14"/>
      <c r="AA14"/>
      <c r="AB14"/>
    </row>
    <row r="15" spans="1:28" s="7" customFormat="1" ht="24.9" customHeight="1" x14ac:dyDescent="0.2">
      <c r="A15" s="142"/>
      <c r="B15" s="202"/>
      <c r="C15" s="143"/>
      <c r="D15" s="144"/>
      <c r="E15" s="746"/>
      <c r="F15" s="747"/>
      <c r="G15" s="142"/>
      <c r="H15" s="142"/>
      <c r="I15" s="142" t="str">
        <f t="shared" si="5"/>
        <v/>
      </c>
      <c r="J15" s="106" t="str">
        <f t="shared" si="6"/>
        <v/>
      </c>
      <c r="K15" s="142"/>
      <c r="L15" s="142"/>
      <c r="M15" s="142"/>
      <c r="N15" s="165"/>
      <c r="O15" s="107" t="str">
        <f t="shared" si="0"/>
        <v/>
      </c>
      <c r="P15" s="108" t="str">
        <f t="shared" si="1"/>
        <v/>
      </c>
      <c r="Q15" s="109" t="str">
        <f t="shared" si="2"/>
        <v/>
      </c>
      <c r="R15" s="108" t="str">
        <f t="shared" si="3"/>
        <v/>
      </c>
      <c r="S15" s="108" t="str">
        <f t="shared" si="4"/>
        <v/>
      </c>
      <c r="T15" s="108" t="str">
        <f t="shared" si="7"/>
        <v/>
      </c>
      <c r="U15" s="6"/>
      <c r="X15"/>
      <c r="Y15"/>
      <c r="Z15"/>
      <c r="AA15"/>
      <c r="AB15"/>
    </row>
    <row r="16" spans="1:28" s="7" customFormat="1" ht="24.9" customHeight="1" x14ac:dyDescent="0.2">
      <c r="A16" s="142"/>
      <c r="B16" s="202"/>
      <c r="C16" s="143"/>
      <c r="D16" s="144"/>
      <c r="E16" s="746"/>
      <c r="F16" s="747"/>
      <c r="G16" s="142"/>
      <c r="H16" s="142"/>
      <c r="I16" s="142" t="str">
        <f t="shared" si="5"/>
        <v/>
      </c>
      <c r="J16" s="106" t="str">
        <f t="shared" si="6"/>
        <v/>
      </c>
      <c r="K16" s="142"/>
      <c r="L16" s="142"/>
      <c r="M16" s="142"/>
      <c r="N16" s="165"/>
      <c r="O16" s="107" t="str">
        <f t="shared" si="0"/>
        <v/>
      </c>
      <c r="P16" s="108" t="str">
        <f t="shared" si="1"/>
        <v/>
      </c>
      <c r="Q16" s="109" t="str">
        <f t="shared" si="2"/>
        <v/>
      </c>
      <c r="R16" s="108" t="str">
        <f t="shared" si="3"/>
        <v/>
      </c>
      <c r="S16" s="108" t="str">
        <f t="shared" si="4"/>
        <v/>
      </c>
      <c r="T16" s="108" t="str">
        <f t="shared" si="7"/>
        <v/>
      </c>
      <c r="U16" s="6"/>
      <c r="X16"/>
      <c r="Y16"/>
      <c r="Z16"/>
      <c r="AA16"/>
      <c r="AB16"/>
    </row>
    <row r="17" spans="1:28" s="7" customFormat="1" ht="24.9" customHeight="1" x14ac:dyDescent="0.2">
      <c r="A17" s="142"/>
      <c r="B17" s="202"/>
      <c r="C17" s="143"/>
      <c r="D17" s="144"/>
      <c r="E17" s="746"/>
      <c r="F17" s="747"/>
      <c r="G17" s="142"/>
      <c r="H17" s="142"/>
      <c r="I17" s="142" t="str">
        <f t="shared" si="5"/>
        <v/>
      </c>
      <c r="J17" s="106" t="str">
        <f t="shared" si="6"/>
        <v/>
      </c>
      <c r="K17" s="142"/>
      <c r="L17" s="142"/>
      <c r="M17" s="142"/>
      <c r="N17" s="165"/>
      <c r="O17" s="107" t="str">
        <f t="shared" si="0"/>
        <v/>
      </c>
      <c r="P17" s="108" t="str">
        <f t="shared" si="1"/>
        <v/>
      </c>
      <c r="Q17" s="109" t="str">
        <f t="shared" si="2"/>
        <v/>
      </c>
      <c r="R17" s="108" t="str">
        <f t="shared" si="3"/>
        <v/>
      </c>
      <c r="S17" s="108" t="str">
        <f t="shared" si="4"/>
        <v/>
      </c>
      <c r="T17" s="108" t="str">
        <f t="shared" si="7"/>
        <v/>
      </c>
      <c r="U17" s="6"/>
      <c r="X17"/>
      <c r="Y17"/>
      <c r="Z17"/>
      <c r="AA17"/>
      <c r="AB17"/>
    </row>
    <row r="18" spans="1:28" s="7" customFormat="1" ht="24.9" customHeight="1" thickBot="1" x14ac:dyDescent="0.25">
      <c r="A18" s="142"/>
      <c r="B18" s="202"/>
      <c r="C18" s="143"/>
      <c r="D18" s="145"/>
      <c r="E18" s="746"/>
      <c r="F18" s="747"/>
      <c r="G18" s="142"/>
      <c r="H18" s="142"/>
      <c r="I18" s="142" t="str">
        <f t="shared" si="5"/>
        <v/>
      </c>
      <c r="J18" s="106" t="str">
        <f t="shared" si="6"/>
        <v/>
      </c>
      <c r="K18" s="142"/>
      <c r="L18" s="142"/>
      <c r="M18" s="142"/>
      <c r="N18" s="165"/>
      <c r="O18" s="107" t="str">
        <f t="shared" si="0"/>
        <v/>
      </c>
      <c r="P18" s="108" t="str">
        <f t="shared" si="1"/>
        <v/>
      </c>
      <c r="Q18" s="109" t="str">
        <f t="shared" si="2"/>
        <v/>
      </c>
      <c r="R18" s="108" t="str">
        <f t="shared" si="3"/>
        <v/>
      </c>
      <c r="S18" s="108" t="str">
        <f t="shared" si="4"/>
        <v/>
      </c>
      <c r="T18" s="108" t="str">
        <f t="shared" si="7"/>
        <v/>
      </c>
      <c r="U18"/>
      <c r="X18"/>
      <c r="Y18"/>
      <c r="Z18"/>
      <c r="AA18"/>
      <c r="AB18"/>
    </row>
    <row r="19" spans="1:28" ht="21.8" customHeight="1" thickBot="1" x14ac:dyDescent="0.25">
      <c r="A19" s="20"/>
      <c r="B19" s="1"/>
      <c r="C19" s="1"/>
      <c r="D19" s="1"/>
      <c r="E19" s="1"/>
      <c r="F19" s="1"/>
      <c r="G19" s="1"/>
      <c r="H19" s="1"/>
      <c r="I19" s="8"/>
      <c r="J19" s="21"/>
      <c r="K19" s="1"/>
      <c r="L19" s="1"/>
      <c r="M19" s="1"/>
      <c r="N19" s="1"/>
      <c r="O19" s="7"/>
      <c r="P19" s="7"/>
      <c r="Q19" s="7"/>
      <c r="R19" s="7"/>
      <c r="S19" s="9" t="s">
        <v>37</v>
      </c>
      <c r="T19" s="110">
        <f>SUM(T9:T18)</f>
        <v>4730</v>
      </c>
    </row>
    <row r="20" spans="1:28" ht="27.85" hidden="1" customHeight="1" x14ac:dyDescent="0.2">
      <c r="A20" s="1"/>
      <c r="B20" s="1"/>
      <c r="C20" s="1"/>
      <c r="D20" s="1"/>
      <c r="E20" s="1"/>
      <c r="F20" s="1"/>
      <c r="G20" s="1"/>
      <c r="H20" s="1"/>
      <c r="I20" s="1"/>
      <c r="J20" s="1"/>
      <c r="X20" s="3"/>
      <c r="Y20" s="3"/>
      <c r="Z20" s="3"/>
      <c r="AA20" s="3"/>
      <c r="AB20" s="3"/>
    </row>
    <row r="21" spans="1:28" ht="12.8" customHeight="1" thickBot="1" x14ac:dyDescent="0.25">
      <c r="A21" s="1"/>
      <c r="B21" s="1"/>
      <c r="C21" s="1"/>
      <c r="D21" s="1"/>
      <c r="E21" s="1"/>
      <c r="F21" s="1"/>
      <c r="G21" s="1"/>
      <c r="H21" s="1"/>
      <c r="I21" s="1"/>
      <c r="J21" s="1"/>
      <c r="X21" s="3"/>
      <c r="Y21" s="3"/>
      <c r="Z21" s="3"/>
      <c r="AA21" s="3"/>
      <c r="AB21" s="3"/>
    </row>
    <row r="22" spans="1:28" ht="16.55" customHeight="1" thickBot="1" x14ac:dyDescent="0.3">
      <c r="A22" s="22" t="s">
        <v>46</v>
      </c>
      <c r="B22" s="23"/>
      <c r="C22" s="23"/>
      <c r="D22" s="23"/>
      <c r="E22" s="23"/>
      <c r="F22" s="23"/>
      <c r="G22" s="23"/>
      <c r="H22" s="23"/>
      <c r="I22" s="23"/>
      <c r="J22" s="23"/>
      <c r="K22" s="755" t="s">
        <v>173</v>
      </c>
      <c r="L22" s="755"/>
      <c r="M22" s="755"/>
      <c r="N22" s="755"/>
      <c r="O22" s="113"/>
      <c r="P22" s="750" t="s">
        <v>183</v>
      </c>
      <c r="Q22" s="750"/>
      <c r="R22" s="750"/>
      <c r="S22" s="750"/>
      <c r="W22" s="3"/>
      <c r="X22" s="3"/>
      <c r="Y22" s="3"/>
      <c r="Z22" s="3"/>
      <c r="AA22" s="3"/>
    </row>
    <row r="23" spans="1:28" ht="51.05" customHeight="1" thickBot="1" x14ac:dyDescent="0.3">
      <c r="A23" s="24" t="s">
        <v>40</v>
      </c>
      <c r="B23" s="762" t="s">
        <v>47</v>
      </c>
      <c r="C23" s="762"/>
      <c r="D23" s="762"/>
      <c r="E23" s="762"/>
      <c r="F23" s="760" t="s">
        <v>132</v>
      </c>
      <c r="G23" s="761"/>
      <c r="H23" s="24" t="s">
        <v>42</v>
      </c>
      <c r="I23" s="148" t="s">
        <v>158</v>
      </c>
      <c r="J23" s="149"/>
      <c r="K23" s="756" t="s">
        <v>141</v>
      </c>
      <c r="L23" s="756"/>
      <c r="M23" s="756" t="s">
        <v>142</v>
      </c>
      <c r="N23" s="756"/>
      <c r="O23" s="151"/>
      <c r="P23" s="753" t="s">
        <v>43</v>
      </c>
      <c r="Q23" s="754"/>
      <c r="R23" s="754"/>
      <c r="S23" s="168" t="s">
        <v>44</v>
      </c>
      <c r="W23" s="3"/>
      <c r="X23" s="3"/>
      <c r="Y23" s="3"/>
      <c r="Z23" s="3"/>
      <c r="AA23" s="3"/>
    </row>
    <row r="24" spans="1:28" ht="21.6" thickBot="1" x14ac:dyDescent="0.25">
      <c r="A24" s="25" t="s">
        <v>48</v>
      </c>
      <c r="B24" s="757" t="s">
        <v>166</v>
      </c>
      <c r="C24" s="758"/>
      <c r="D24" s="758"/>
      <c r="E24" s="759"/>
      <c r="F24" s="116" t="s">
        <v>160</v>
      </c>
      <c r="G24" s="93" t="s">
        <v>135</v>
      </c>
      <c r="H24" s="10">
        <v>15</v>
      </c>
      <c r="I24" s="150">
        <v>3.5</v>
      </c>
      <c r="J24" s="118">
        <v>0</v>
      </c>
      <c r="K24" s="745">
        <v>0.63</v>
      </c>
      <c r="L24" s="745"/>
      <c r="M24" s="745">
        <v>0.53400000000000003</v>
      </c>
      <c r="N24" s="745"/>
      <c r="O24" s="114"/>
      <c r="P24" s="751" t="s">
        <v>143</v>
      </c>
      <c r="Q24" s="752"/>
      <c r="R24" s="752"/>
      <c r="S24" s="166">
        <v>632</v>
      </c>
      <c r="W24" s="3"/>
      <c r="X24" s="3"/>
      <c r="Y24" s="3"/>
      <c r="Z24" s="3"/>
      <c r="AA24" s="3"/>
    </row>
    <row r="25" spans="1:28" ht="21.6" thickBot="1" x14ac:dyDescent="0.25">
      <c r="A25" s="25" t="s">
        <v>49</v>
      </c>
      <c r="B25" s="757" t="s">
        <v>167</v>
      </c>
      <c r="C25" s="758"/>
      <c r="D25" s="758"/>
      <c r="E25" s="759"/>
      <c r="F25" s="116" t="s">
        <v>161</v>
      </c>
      <c r="G25" s="93" t="s">
        <v>135</v>
      </c>
      <c r="H25" s="10">
        <v>15</v>
      </c>
      <c r="I25" s="150">
        <v>3.5</v>
      </c>
      <c r="J25" s="118">
        <v>150</v>
      </c>
      <c r="K25" s="745">
        <v>0.57999999999999996</v>
      </c>
      <c r="L25" s="745"/>
      <c r="M25" s="745">
        <v>0.53400000000000003</v>
      </c>
      <c r="N25" s="745"/>
      <c r="O25" s="114"/>
      <c r="P25" s="743" t="s">
        <v>137</v>
      </c>
      <c r="Q25" s="744"/>
      <c r="R25" s="744"/>
      <c r="S25" s="167">
        <v>384</v>
      </c>
    </row>
    <row r="26" spans="1:28" ht="21.6" thickBot="1" x14ac:dyDescent="0.25">
      <c r="A26" s="25" t="s">
        <v>50</v>
      </c>
      <c r="B26" s="757" t="s">
        <v>168</v>
      </c>
      <c r="C26" s="758"/>
      <c r="D26" s="758"/>
      <c r="E26" s="759"/>
      <c r="F26" s="116" t="s">
        <v>162</v>
      </c>
      <c r="G26" s="93" t="s">
        <v>135</v>
      </c>
      <c r="H26" s="10">
        <v>15</v>
      </c>
      <c r="I26" s="150">
        <v>3.5</v>
      </c>
      <c r="J26" s="118">
        <v>300</v>
      </c>
      <c r="K26" s="745">
        <v>0.52</v>
      </c>
      <c r="L26" s="745"/>
      <c r="M26" s="745">
        <v>0.52400000000000002</v>
      </c>
      <c r="N26" s="745"/>
      <c r="O26" s="114"/>
      <c r="P26" s="743" t="s">
        <v>140</v>
      </c>
      <c r="Q26" s="744"/>
      <c r="R26" s="744"/>
      <c r="S26" s="167">
        <v>828</v>
      </c>
    </row>
    <row r="27" spans="1:28" ht="21.6" thickBot="1" x14ac:dyDescent="0.25">
      <c r="A27" s="25" t="s">
        <v>51</v>
      </c>
      <c r="B27" s="757" t="s">
        <v>65</v>
      </c>
      <c r="C27" s="758"/>
      <c r="D27" s="758"/>
      <c r="E27" s="759"/>
      <c r="F27" s="116" t="s">
        <v>163</v>
      </c>
      <c r="G27" s="93" t="s">
        <v>135</v>
      </c>
      <c r="H27" s="10">
        <v>15</v>
      </c>
      <c r="I27" s="150">
        <v>3.5</v>
      </c>
      <c r="J27" s="118">
        <v>0</v>
      </c>
      <c r="K27" s="745">
        <v>0.65</v>
      </c>
      <c r="L27" s="745"/>
      <c r="M27" s="745">
        <v>0.53400000000000003</v>
      </c>
      <c r="N27" s="745"/>
      <c r="O27" s="114"/>
      <c r="P27" s="743" t="s">
        <v>144</v>
      </c>
      <c r="Q27" s="744"/>
      <c r="R27" s="744"/>
      <c r="S27" s="167">
        <v>756</v>
      </c>
    </row>
    <row r="28" spans="1:28" ht="21.6" thickBot="1" x14ac:dyDescent="0.25">
      <c r="A28" s="25" t="s">
        <v>52</v>
      </c>
      <c r="B28" s="757" t="s">
        <v>66</v>
      </c>
      <c r="C28" s="758"/>
      <c r="D28" s="758"/>
      <c r="E28" s="759"/>
      <c r="F28" s="116" t="s">
        <v>164</v>
      </c>
      <c r="G28" s="93" t="s">
        <v>135</v>
      </c>
      <c r="H28" s="10">
        <v>15</v>
      </c>
      <c r="I28" s="150">
        <v>3.5</v>
      </c>
      <c r="J28" s="118">
        <v>150</v>
      </c>
      <c r="K28" s="745">
        <v>0.57999999999999996</v>
      </c>
      <c r="L28" s="745"/>
      <c r="M28" s="745">
        <v>0.53400000000000003</v>
      </c>
      <c r="N28" s="745"/>
      <c r="O28" s="114"/>
      <c r="P28" s="743" t="s">
        <v>145</v>
      </c>
      <c r="Q28" s="744"/>
      <c r="R28" s="744"/>
      <c r="S28" s="167">
        <v>1408</v>
      </c>
    </row>
    <row r="29" spans="1:28" ht="21.6" thickBot="1" x14ac:dyDescent="0.25">
      <c r="A29" s="25" t="s">
        <v>53</v>
      </c>
      <c r="B29" s="757" t="s">
        <v>67</v>
      </c>
      <c r="C29" s="758"/>
      <c r="D29" s="758"/>
      <c r="E29" s="759"/>
      <c r="F29" s="116" t="s">
        <v>165</v>
      </c>
      <c r="G29" s="93" t="s">
        <v>135</v>
      </c>
      <c r="H29" s="10">
        <v>15</v>
      </c>
      <c r="I29" s="150">
        <v>3.5</v>
      </c>
      <c r="J29" s="118">
        <v>300</v>
      </c>
      <c r="K29" s="745">
        <v>0.53</v>
      </c>
      <c r="L29" s="745"/>
      <c r="M29" s="745">
        <v>0.52400000000000002</v>
      </c>
      <c r="N29" s="745"/>
      <c r="O29" s="115"/>
      <c r="P29" s="743" t="s">
        <v>146</v>
      </c>
      <c r="Q29" s="744"/>
      <c r="R29" s="744"/>
      <c r="S29" s="167">
        <v>1193</v>
      </c>
      <c r="U29" s="3"/>
    </row>
    <row r="30" spans="1:28" s="3" customFormat="1" ht="15.05" customHeight="1" thickBot="1" x14ac:dyDescent="0.25">
      <c r="A30" s="121" t="s">
        <v>68</v>
      </c>
      <c r="B30" s="122" t="s">
        <v>169</v>
      </c>
      <c r="C30" s="123"/>
      <c r="D30" s="124"/>
      <c r="E30" s="125"/>
      <c r="F30" s="152" t="s">
        <v>170</v>
      </c>
      <c r="G30" s="123"/>
      <c r="H30" s="123"/>
      <c r="I30" s="123"/>
      <c r="J30" s="123"/>
      <c r="K30" s="123"/>
      <c r="L30" s="147"/>
      <c r="M30" s="147"/>
      <c r="N30" s="121"/>
      <c r="O30" s="112"/>
      <c r="P30" s="743" t="s">
        <v>138</v>
      </c>
      <c r="Q30" s="744"/>
      <c r="R30" s="744"/>
      <c r="S30" s="167">
        <v>902</v>
      </c>
      <c r="W30"/>
      <c r="X30"/>
      <c r="Y30"/>
      <c r="Z30"/>
      <c r="AA30"/>
    </row>
    <row r="31" spans="1:28" s="3" customFormat="1" ht="15.05" customHeight="1" thickBot="1" x14ac:dyDescent="0.25">
      <c r="A31"/>
      <c r="B31"/>
      <c r="C31"/>
      <c r="D31"/>
      <c r="E31"/>
      <c r="F31"/>
      <c r="G31"/>
      <c r="H31"/>
      <c r="I31"/>
      <c r="J31"/>
      <c r="K31"/>
      <c r="N31" s="111"/>
      <c r="O31" s="112"/>
      <c r="P31" s="743" t="s">
        <v>139</v>
      </c>
      <c r="Q31" s="744"/>
      <c r="R31" s="744"/>
      <c r="S31" s="167">
        <v>867</v>
      </c>
      <c r="W31"/>
      <c r="X31"/>
      <c r="Y31"/>
      <c r="Z31"/>
      <c r="AA31"/>
    </row>
    <row r="32" spans="1:28" s="3" customFormat="1" x14ac:dyDescent="0.2">
      <c r="A32" s="3" t="s">
        <v>64</v>
      </c>
      <c r="N32" s="111"/>
      <c r="O32" s="112"/>
      <c r="P32" s="112"/>
      <c r="Q32" s="112"/>
      <c r="X32"/>
      <c r="Y32"/>
      <c r="Z32"/>
      <c r="AA32"/>
      <c r="AB32"/>
    </row>
    <row r="33" spans="1:28" s="3" customFormat="1" ht="15.05" customHeight="1" x14ac:dyDescent="0.2">
      <c r="N33" s="111"/>
      <c r="O33" s="112"/>
      <c r="P33" s="112"/>
      <c r="Q33" s="112"/>
      <c r="X33"/>
      <c r="Y33"/>
      <c r="Z33"/>
      <c r="AA33"/>
      <c r="AB33"/>
    </row>
    <row r="34" spans="1:28" s="3" customFormat="1" ht="15.05" customHeight="1" x14ac:dyDescent="0.2">
      <c r="A34" s="26" t="s">
        <v>54</v>
      </c>
      <c r="N34" s="85"/>
      <c r="O34" s="85"/>
      <c r="P34" s="85"/>
      <c r="Q34" s="85"/>
      <c r="U34"/>
      <c r="X34"/>
      <c r="Y34"/>
      <c r="Z34"/>
      <c r="AA34"/>
      <c r="AB34"/>
    </row>
    <row r="35" spans="1:28" x14ac:dyDescent="0.2">
      <c r="A35" s="3" t="s">
        <v>69</v>
      </c>
      <c r="B35" s="3"/>
      <c r="C35" s="3"/>
      <c r="D35" s="3"/>
      <c r="E35" s="3"/>
      <c r="F35" s="3"/>
      <c r="G35" s="3"/>
      <c r="H35" s="3"/>
      <c r="I35" s="3"/>
      <c r="J35" s="3"/>
      <c r="K35" s="3"/>
    </row>
  </sheetData>
  <sheetProtection selectLockedCells="1"/>
  <mergeCells count="51">
    <mergeCell ref="A2:T2"/>
    <mergeCell ref="E15:F15"/>
    <mergeCell ref="E14:F14"/>
    <mergeCell ref="D3:F3"/>
    <mergeCell ref="D4:F4"/>
    <mergeCell ref="E10:F10"/>
    <mergeCell ref="E7:F7"/>
    <mergeCell ref="A6:C6"/>
    <mergeCell ref="E9:F9"/>
    <mergeCell ref="D6:N6"/>
    <mergeCell ref="E8:F8"/>
    <mergeCell ref="E13:F13"/>
    <mergeCell ref="E11:F11"/>
    <mergeCell ref="E12:F12"/>
    <mergeCell ref="F23:G23"/>
    <mergeCell ref="B23:E23"/>
    <mergeCell ref="K26:L26"/>
    <mergeCell ref="B29:E29"/>
    <mergeCell ref="K29:L29"/>
    <mergeCell ref="K28:L28"/>
    <mergeCell ref="B28:E28"/>
    <mergeCell ref="K24:L24"/>
    <mergeCell ref="B25:E25"/>
    <mergeCell ref="K25:L25"/>
    <mergeCell ref="B27:E27"/>
    <mergeCell ref="B24:E24"/>
    <mergeCell ref="E18:F18"/>
    <mergeCell ref="E17:F17"/>
    <mergeCell ref="E16:F16"/>
    <mergeCell ref="O6:S6"/>
    <mergeCell ref="P29:R29"/>
    <mergeCell ref="P22:S22"/>
    <mergeCell ref="P24:R24"/>
    <mergeCell ref="K27:L27"/>
    <mergeCell ref="P23:R23"/>
    <mergeCell ref="M24:N24"/>
    <mergeCell ref="M29:N29"/>
    <mergeCell ref="P25:R25"/>
    <mergeCell ref="K22:N22"/>
    <mergeCell ref="K23:L23"/>
    <mergeCell ref="B26:E26"/>
    <mergeCell ref="M23:N23"/>
    <mergeCell ref="P31:R31"/>
    <mergeCell ref="M28:N28"/>
    <mergeCell ref="M27:N27"/>
    <mergeCell ref="M26:N26"/>
    <mergeCell ref="M25:N25"/>
    <mergeCell ref="P28:R28"/>
    <mergeCell ref="P26:R26"/>
    <mergeCell ref="P27:R27"/>
    <mergeCell ref="P30:R30"/>
  </mergeCells>
  <phoneticPr fontId="5"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1" r:id="rId4" name="Option Button 223">
              <controlPr defaultSize="0" autoFill="0" autoLine="0" autoPict="0">
                <anchor moveWithCells="1">
                  <from>
                    <xdr:col>2</xdr:col>
                    <xdr:colOff>49876</xdr:colOff>
                    <xdr:row>2</xdr:row>
                    <xdr:rowOff>0</xdr:rowOff>
                  </from>
                  <to>
                    <xdr:col>2</xdr:col>
                    <xdr:colOff>340822</xdr:colOff>
                    <xdr:row>3</xdr:row>
                    <xdr:rowOff>0</xdr:rowOff>
                  </to>
                </anchor>
              </controlPr>
            </control>
          </mc:Choice>
        </mc:AlternateContent>
        <mc:AlternateContent xmlns:mc="http://schemas.openxmlformats.org/markup-compatibility/2006">
          <mc:Choice Requires="x14">
            <control shapeId="2272" r:id="rId5" name="Option Button 224">
              <controlPr defaultSize="0" autoFill="0" autoLine="0" autoPict="0">
                <anchor moveWithCells="1">
                  <from>
                    <xdr:col>2</xdr:col>
                    <xdr:colOff>49876</xdr:colOff>
                    <xdr:row>2</xdr:row>
                    <xdr:rowOff>182880</xdr:rowOff>
                  </from>
                  <to>
                    <xdr:col>2</xdr:col>
                    <xdr:colOff>340822</xdr:colOff>
                    <xdr:row>4</xdr:row>
                    <xdr:rowOff>41564</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31"/>
  <sheetViews>
    <sheetView zoomScale="106" zoomScaleNormal="106" workbookViewId="0">
      <selection activeCell="B70" sqref="B70"/>
    </sheetView>
  </sheetViews>
  <sheetFormatPr defaultRowHeight="12.45" x14ac:dyDescent="0.2"/>
  <cols>
    <col min="1" max="1" width="18.875" customWidth="1"/>
    <col min="2" max="2" width="14" customWidth="1"/>
    <col min="3" max="3" width="9.25" customWidth="1"/>
    <col min="4" max="4" width="11" customWidth="1"/>
    <col min="5" max="5" width="10.75" customWidth="1"/>
    <col min="6" max="6" width="12.75" customWidth="1"/>
    <col min="7" max="7" width="11.875" customWidth="1"/>
    <col min="8" max="8" width="9.125" customWidth="1"/>
    <col min="9" max="9" width="9.25" customWidth="1"/>
    <col min="10" max="10" width="10.125" bestFit="1" customWidth="1"/>
    <col min="11" max="12" width="9.875" bestFit="1" customWidth="1"/>
    <col min="13" max="13" width="10.375" bestFit="1" customWidth="1"/>
    <col min="14" max="14" width="9.25" bestFit="1" customWidth="1"/>
    <col min="15" max="15" width="10.875" bestFit="1" customWidth="1"/>
    <col min="16" max="16" width="11.875" customWidth="1"/>
  </cols>
  <sheetData>
    <row r="1" spans="1:26" s="2" customFormat="1" ht="20.95" thickBot="1" x14ac:dyDescent="0.25">
      <c r="A1" s="319" t="s">
        <v>219</v>
      </c>
      <c r="B1" s="320"/>
      <c r="C1" s="320"/>
      <c r="D1" s="320"/>
      <c r="E1" s="320"/>
      <c r="F1" s="320"/>
      <c r="G1" s="320"/>
      <c r="H1" s="320"/>
      <c r="I1" s="320"/>
      <c r="J1" s="320"/>
      <c r="K1" s="320"/>
      <c r="L1" s="320"/>
      <c r="M1" s="321"/>
      <c r="N1" s="3"/>
      <c r="O1" s="3"/>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6"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171" t="s">
        <v>181</v>
      </c>
      <c r="B6" s="171"/>
      <c r="C6" s="171"/>
      <c r="D6" s="171"/>
      <c r="E6" s="171"/>
      <c r="F6" s="171"/>
      <c r="G6" s="171"/>
      <c r="H6" s="171"/>
      <c r="I6" s="171"/>
      <c r="J6" s="171"/>
      <c r="K6" s="171"/>
      <c r="L6" s="171"/>
      <c r="M6" s="171"/>
      <c r="N6" s="32"/>
      <c r="O6" s="86"/>
      <c r="P6" s="86"/>
    </row>
    <row r="7" spans="1:26" ht="9.85" customHeight="1" thickBot="1" x14ac:dyDescent="0.25">
      <c r="A7" s="85"/>
      <c r="B7" s="778"/>
      <c r="C7" s="778"/>
      <c r="D7" s="778"/>
      <c r="E7" s="778"/>
      <c r="F7" s="778"/>
      <c r="G7" s="778"/>
      <c r="H7" s="778"/>
      <c r="I7" s="85"/>
      <c r="J7" s="85"/>
      <c r="K7" s="85"/>
      <c r="L7" s="85"/>
      <c r="M7" s="85"/>
      <c r="Q7" s="86"/>
      <c r="R7" s="86"/>
      <c r="S7" s="86"/>
      <c r="T7" s="86"/>
    </row>
    <row r="8" spans="1:26" s="86" customFormat="1" ht="13.1" thickBot="1" x14ac:dyDescent="0.25">
      <c r="A8" s="738" t="s">
        <v>123</v>
      </c>
      <c r="B8" s="739"/>
      <c r="C8" s="739"/>
      <c r="D8" s="740"/>
      <c r="E8"/>
      <c r="F8" s="733" t="s">
        <v>13</v>
      </c>
      <c r="G8" s="734"/>
      <c r="H8" s="734"/>
      <c r="I8" s="734"/>
      <c r="J8" s="735"/>
      <c r="K8" s="779" t="s">
        <v>80</v>
      </c>
      <c r="L8" s="736"/>
      <c r="M8" s="737"/>
      <c r="N8"/>
      <c r="O8"/>
      <c r="P8"/>
      <c r="Q8"/>
      <c r="R8"/>
      <c r="S8"/>
      <c r="T8"/>
    </row>
    <row r="9" spans="1:26" ht="13.1" hidden="1" thickBot="1" x14ac:dyDescent="0.25">
      <c r="A9" s="343"/>
      <c r="B9" s="87"/>
      <c r="C9" s="87"/>
      <c r="D9" s="344"/>
      <c r="F9" s="343"/>
      <c r="G9" s="184"/>
      <c r="H9" s="184"/>
      <c r="I9" s="184"/>
      <c r="J9" s="184"/>
      <c r="K9" s="184"/>
      <c r="L9" s="184"/>
      <c r="M9" s="184"/>
    </row>
    <row r="10" spans="1:26" ht="13.6" hidden="1" customHeight="1" thickBot="1" x14ac:dyDescent="0.25">
      <c r="A10" s="775" t="s">
        <v>123</v>
      </c>
      <c r="B10" s="776"/>
      <c r="C10" s="776"/>
      <c r="D10" s="777"/>
      <c r="F10" s="351"/>
      <c r="G10" s="183"/>
      <c r="H10" s="183" t="s">
        <v>13</v>
      </c>
      <c r="I10" s="183"/>
      <c r="J10" s="183"/>
      <c r="K10" s="183"/>
      <c r="L10" s="183"/>
      <c r="M10" s="183"/>
    </row>
    <row r="11" spans="1:26" ht="13.1" hidden="1" thickBot="1" x14ac:dyDescent="0.25">
      <c r="A11" s="174"/>
      <c r="B11" s="174"/>
      <c r="C11" s="174"/>
      <c r="D11" s="174"/>
      <c r="F11" s="176"/>
      <c r="G11" s="174"/>
      <c r="H11" s="174"/>
      <c r="I11" s="174"/>
      <c r="J11" s="174"/>
      <c r="K11" s="174"/>
      <c r="L11" s="174"/>
      <c r="M11" s="174"/>
      <c r="P11" s="96"/>
    </row>
    <row r="12" spans="1:26" ht="32.1" thickBot="1" x14ac:dyDescent="0.25">
      <c r="A12" s="175" t="s">
        <v>287</v>
      </c>
      <c r="B12" s="175" t="s">
        <v>34</v>
      </c>
      <c r="C12" s="175" t="s">
        <v>124</v>
      </c>
      <c r="D12" s="175" t="s">
        <v>125</v>
      </c>
      <c r="E12" s="349" t="s">
        <v>81</v>
      </c>
      <c r="F12" s="177" t="s">
        <v>126</v>
      </c>
      <c r="G12" s="175" t="s">
        <v>189</v>
      </c>
      <c r="H12" s="175" t="s">
        <v>34</v>
      </c>
      <c r="I12" s="175" t="s">
        <v>127</v>
      </c>
      <c r="J12" s="175" t="s">
        <v>128</v>
      </c>
      <c r="K12" s="175" t="s">
        <v>129</v>
      </c>
      <c r="L12" s="175" t="s">
        <v>82</v>
      </c>
      <c r="M12" s="175" t="s">
        <v>83</v>
      </c>
    </row>
    <row r="13" spans="1:26" ht="24.05" customHeight="1" x14ac:dyDescent="0.2">
      <c r="A13" s="332">
        <f>'Rebate Information (Chillers-W)'!D10</f>
        <v>0</v>
      </c>
      <c r="B13" s="172">
        <f>'Rebate Information (Chillers-W)'!E10</f>
        <v>0</v>
      </c>
      <c r="C13" s="499">
        <f>A13*B13*'Rebate Information (Chillers-W)'!C10</f>
        <v>0</v>
      </c>
      <c r="D13" s="496">
        <f t="shared" ref="D13:D22" si="0">C13*E13</f>
        <v>0</v>
      </c>
      <c r="E13" s="350">
        <f>'Rebate Information (Chillers-W)'!O10</f>
        <v>0</v>
      </c>
      <c r="F13" s="500">
        <f>'Rebate Information (Chillers-W)'!G10</f>
        <v>0</v>
      </c>
      <c r="G13" s="499">
        <f>'Rebate Information (Chillers-W)'!K10</f>
        <v>0</v>
      </c>
      <c r="H13" s="172">
        <f>'Rebate Information (Chillers-W)'!N10</f>
        <v>0</v>
      </c>
      <c r="I13" s="173">
        <f>G13*H13*'Rebate Information (Chillers-W)'!I10</f>
        <v>0</v>
      </c>
      <c r="J13" s="496">
        <f>H13*'Rebate Information (Chillers-W)'!I10*'Rebate Information (Chillers-W)'!M10*E13</f>
        <v>0</v>
      </c>
      <c r="K13" s="173">
        <f t="shared" ref="K13:K22" si="1">IFERROR(IF(ISERROR(C13-I13),"",C13-I13)*0.9,"")</f>
        <v>0</v>
      </c>
      <c r="L13" s="182">
        <f t="shared" ref="L13:L22" si="2">IF(ISERROR(D13-J13),"",D13-J13)</f>
        <v>0</v>
      </c>
      <c r="M13" s="220">
        <f t="shared" ref="M13:M22" si="3">IFERROR(L13*$L$3,"")</f>
        <v>0</v>
      </c>
    </row>
    <row r="14" spans="1:26" ht="24.05" customHeight="1" x14ac:dyDescent="0.2">
      <c r="A14" s="332">
        <f>'Rebate Information (Chillers-W)'!D11</f>
        <v>0</v>
      </c>
      <c r="B14" s="172">
        <f>'Rebate Information (Chillers-W)'!E11</f>
        <v>0</v>
      </c>
      <c r="C14" s="499">
        <f>A14*B14*'Rebate Information (Chillers-W)'!C11</f>
        <v>0</v>
      </c>
      <c r="D14" s="496">
        <f t="shared" si="0"/>
        <v>0</v>
      </c>
      <c r="E14" s="350">
        <f>'Rebate Information (Chillers-W)'!O11</f>
        <v>0</v>
      </c>
      <c r="F14" s="500">
        <f>'Rebate Information (Chillers-W)'!G11</f>
        <v>0</v>
      </c>
      <c r="G14" s="499">
        <f>'Rebate Information (Chillers-W)'!K11</f>
        <v>0</v>
      </c>
      <c r="H14" s="172">
        <f>'Rebate Information (Chillers-W)'!N11</f>
        <v>0</v>
      </c>
      <c r="I14" s="173">
        <f>G14*H14*'Rebate Information (Chillers-W)'!I11</f>
        <v>0</v>
      </c>
      <c r="J14" s="496">
        <f>H14*'Rebate Information (Chillers-W)'!I11*'Rebate Information (Chillers-W)'!M11*E14</f>
        <v>0</v>
      </c>
      <c r="K14" s="173">
        <f t="shared" si="1"/>
        <v>0</v>
      </c>
      <c r="L14" s="182">
        <f t="shared" si="2"/>
        <v>0</v>
      </c>
      <c r="M14" s="220">
        <f t="shared" si="3"/>
        <v>0</v>
      </c>
    </row>
    <row r="15" spans="1:26" ht="24.05" customHeight="1" x14ac:dyDescent="0.2">
      <c r="A15" s="332">
        <f>'Rebate Information (Chillers-W)'!D12</f>
        <v>0</v>
      </c>
      <c r="B15" s="172">
        <f>'Rebate Information (Chillers-W)'!E12</f>
        <v>0</v>
      </c>
      <c r="C15" s="499">
        <f>A15*B15*'Rebate Information (Chillers-W)'!C12</f>
        <v>0</v>
      </c>
      <c r="D15" s="496">
        <f t="shared" si="0"/>
        <v>0</v>
      </c>
      <c r="E15" s="350">
        <f>'Rebate Information (Chillers-W)'!O12</f>
        <v>0</v>
      </c>
      <c r="F15" s="500">
        <f>'Rebate Information (Chillers-W)'!G12</f>
        <v>0</v>
      </c>
      <c r="G15" s="499">
        <f>'Rebate Information (Chillers-W)'!K12</f>
        <v>0</v>
      </c>
      <c r="H15" s="172">
        <f>'Rebate Information (Chillers-W)'!N12</f>
        <v>0</v>
      </c>
      <c r="I15" s="173">
        <f>G15*H15*'Rebate Information (Chillers-W)'!I12</f>
        <v>0</v>
      </c>
      <c r="J15" s="496">
        <f>H15*'Rebate Information (Chillers-W)'!I12*'Rebate Information (Chillers-W)'!M12*E15</f>
        <v>0</v>
      </c>
      <c r="K15" s="173">
        <f t="shared" si="1"/>
        <v>0</v>
      </c>
      <c r="L15" s="182">
        <f t="shared" si="2"/>
        <v>0</v>
      </c>
      <c r="M15" s="220">
        <f t="shared" si="3"/>
        <v>0</v>
      </c>
    </row>
    <row r="16" spans="1:26" ht="24.05" customHeight="1" x14ac:dyDescent="0.2">
      <c r="A16" s="332">
        <f>'Rebate Information (Chillers-W)'!D13</f>
        <v>0</v>
      </c>
      <c r="B16" s="172">
        <f>'Rebate Information (Chillers-W)'!E13</f>
        <v>0</v>
      </c>
      <c r="C16" s="499">
        <f>A16*B16*'Rebate Information (Chillers-W)'!C13</f>
        <v>0</v>
      </c>
      <c r="D16" s="496">
        <f t="shared" si="0"/>
        <v>0</v>
      </c>
      <c r="E16" s="350">
        <f>'Rebate Information (Chillers-W)'!O13</f>
        <v>0</v>
      </c>
      <c r="F16" s="500">
        <f>'Rebate Information (Chillers-W)'!G13</f>
        <v>0</v>
      </c>
      <c r="G16" s="499">
        <f>'Rebate Information (Chillers-W)'!K13</f>
        <v>0</v>
      </c>
      <c r="H16" s="172">
        <f>'Rebate Information (Chillers-W)'!N13</f>
        <v>0</v>
      </c>
      <c r="I16" s="173">
        <f>G16*H16*'Rebate Information (Chillers-W)'!I13</f>
        <v>0</v>
      </c>
      <c r="J16" s="496">
        <f>H16*'Rebate Information (Chillers-W)'!I13*'Rebate Information (Chillers-W)'!M13*E16</f>
        <v>0</v>
      </c>
      <c r="K16" s="173">
        <f t="shared" si="1"/>
        <v>0</v>
      </c>
      <c r="L16" s="182">
        <f t="shared" si="2"/>
        <v>0</v>
      </c>
      <c r="M16" s="220">
        <f t="shared" si="3"/>
        <v>0</v>
      </c>
    </row>
    <row r="17" spans="1:13" ht="24.05" customHeight="1" x14ac:dyDescent="0.2">
      <c r="A17" s="332">
        <f>'Rebate Information (Chillers-W)'!D14</f>
        <v>0</v>
      </c>
      <c r="B17" s="172">
        <f>'Rebate Information (Chillers-W)'!E14</f>
        <v>0</v>
      </c>
      <c r="C17" s="499">
        <f>A17*B17*'Rebate Information (Chillers-W)'!C14</f>
        <v>0</v>
      </c>
      <c r="D17" s="496">
        <f t="shared" si="0"/>
        <v>0</v>
      </c>
      <c r="E17" s="350">
        <f>'Rebate Information (Chillers-W)'!O14</f>
        <v>0</v>
      </c>
      <c r="F17" s="500">
        <f>'Rebate Information (Chillers-W)'!G14</f>
        <v>0</v>
      </c>
      <c r="G17" s="499">
        <f>'Rebate Information (Chillers-W)'!K14</f>
        <v>0</v>
      </c>
      <c r="H17" s="172">
        <f>'Rebate Information (Chillers-W)'!N14</f>
        <v>0</v>
      </c>
      <c r="I17" s="173">
        <f>G17*H17*'Rebate Information (Chillers-W)'!I14</f>
        <v>0</v>
      </c>
      <c r="J17" s="496">
        <f>H17*'Rebate Information (Chillers-W)'!I14*'Rebate Information (Chillers-W)'!M14*E17</f>
        <v>0</v>
      </c>
      <c r="K17" s="173">
        <f t="shared" si="1"/>
        <v>0</v>
      </c>
      <c r="L17" s="182">
        <f t="shared" si="2"/>
        <v>0</v>
      </c>
      <c r="M17" s="220">
        <f t="shared" si="3"/>
        <v>0</v>
      </c>
    </row>
    <row r="18" spans="1:13" ht="24.05" customHeight="1" x14ac:dyDescent="0.2">
      <c r="A18" s="332">
        <f>'Rebate Information (Chillers-W)'!D15</f>
        <v>0</v>
      </c>
      <c r="B18" s="172">
        <f>'Rebate Information (Chillers-W)'!E15</f>
        <v>0</v>
      </c>
      <c r="C18" s="499">
        <f>A18*B18*'Rebate Information (Chillers-W)'!C15</f>
        <v>0</v>
      </c>
      <c r="D18" s="496">
        <f t="shared" si="0"/>
        <v>0</v>
      </c>
      <c r="E18" s="350">
        <f>'Rebate Information (Chillers-W)'!O15</f>
        <v>0</v>
      </c>
      <c r="F18" s="500">
        <f>'Rebate Information (Chillers-W)'!G15</f>
        <v>0</v>
      </c>
      <c r="G18" s="499">
        <f>'Rebate Information (Chillers-W)'!K15</f>
        <v>0</v>
      </c>
      <c r="H18" s="172">
        <f>'Rebate Information (Chillers-W)'!N15</f>
        <v>0</v>
      </c>
      <c r="I18" s="173">
        <f>G18*H18*'Rebate Information (Chillers-W)'!I15</f>
        <v>0</v>
      </c>
      <c r="J18" s="496">
        <f>H18*'Rebate Information (Chillers-W)'!I15*'Rebate Information (Chillers-W)'!M15*E18</f>
        <v>0</v>
      </c>
      <c r="K18" s="173">
        <f t="shared" si="1"/>
        <v>0</v>
      </c>
      <c r="L18" s="182">
        <f t="shared" si="2"/>
        <v>0</v>
      </c>
      <c r="M18" s="220">
        <f t="shared" si="3"/>
        <v>0</v>
      </c>
    </row>
    <row r="19" spans="1:13" ht="24.05" customHeight="1" x14ac:dyDescent="0.2">
      <c r="A19" s="332">
        <f>'Rebate Information (Chillers-W)'!D16</f>
        <v>0</v>
      </c>
      <c r="B19" s="172">
        <f>'Rebate Information (Chillers-W)'!E16</f>
        <v>0</v>
      </c>
      <c r="C19" s="499">
        <f>A19*B19*'Rebate Information (Chillers-W)'!C16</f>
        <v>0</v>
      </c>
      <c r="D19" s="496">
        <f t="shared" si="0"/>
        <v>0</v>
      </c>
      <c r="E19" s="350">
        <f>'Rebate Information (Chillers-W)'!O16</f>
        <v>0</v>
      </c>
      <c r="F19" s="500">
        <f>'Rebate Information (Chillers-W)'!G16</f>
        <v>0</v>
      </c>
      <c r="G19" s="499">
        <f>'Rebate Information (Chillers-W)'!K16</f>
        <v>0</v>
      </c>
      <c r="H19" s="172">
        <f>'Rebate Information (Chillers-W)'!N16</f>
        <v>0</v>
      </c>
      <c r="I19" s="173">
        <f>G19*H19*'Rebate Information (Chillers-W)'!I16</f>
        <v>0</v>
      </c>
      <c r="J19" s="496">
        <f>H19*'Rebate Information (Chillers-W)'!I16*'Rebate Information (Chillers-W)'!M16*E19</f>
        <v>0</v>
      </c>
      <c r="K19" s="173">
        <f t="shared" si="1"/>
        <v>0</v>
      </c>
      <c r="L19" s="182">
        <f t="shared" si="2"/>
        <v>0</v>
      </c>
      <c r="M19" s="220">
        <f t="shared" si="3"/>
        <v>0</v>
      </c>
    </row>
    <row r="20" spans="1:13" ht="24.05" customHeight="1" x14ac:dyDescent="0.2">
      <c r="A20" s="332">
        <f>'Rebate Information (Chillers-W)'!D17</f>
        <v>0</v>
      </c>
      <c r="B20" s="172">
        <f>'Rebate Information (Chillers-W)'!E17</f>
        <v>0</v>
      </c>
      <c r="C20" s="499">
        <f>A20*B20*'Rebate Information (Chillers-W)'!C17</f>
        <v>0</v>
      </c>
      <c r="D20" s="496">
        <f t="shared" si="0"/>
        <v>0</v>
      </c>
      <c r="E20" s="350">
        <f>'Rebate Information (Chillers-W)'!O17</f>
        <v>0</v>
      </c>
      <c r="F20" s="500">
        <f>'Rebate Information (Chillers-W)'!G17</f>
        <v>0</v>
      </c>
      <c r="G20" s="499">
        <f>'Rebate Information (Chillers-W)'!K17</f>
        <v>0</v>
      </c>
      <c r="H20" s="172">
        <f>'Rebate Information (Chillers-W)'!N17</f>
        <v>0</v>
      </c>
      <c r="I20" s="173">
        <f>G20*H20*'Rebate Information (Chillers-W)'!I17</f>
        <v>0</v>
      </c>
      <c r="J20" s="496">
        <f>H20*'Rebate Information (Chillers-W)'!I17*'Rebate Information (Chillers-W)'!M17*E20</f>
        <v>0</v>
      </c>
      <c r="K20" s="173">
        <f t="shared" si="1"/>
        <v>0</v>
      </c>
      <c r="L20" s="182">
        <f t="shared" si="2"/>
        <v>0</v>
      </c>
      <c r="M20" s="220">
        <f t="shared" si="3"/>
        <v>0</v>
      </c>
    </row>
    <row r="21" spans="1:13" ht="24.05" customHeight="1" x14ac:dyDescent="0.2">
      <c r="A21" s="332">
        <f>'Rebate Information (Chillers-W)'!D18</f>
        <v>0</v>
      </c>
      <c r="B21" s="172">
        <f>'Rebate Information (Chillers-W)'!E18</f>
        <v>0</v>
      </c>
      <c r="C21" s="499">
        <f>A21*B21*'Rebate Information (Chillers-W)'!C18</f>
        <v>0</v>
      </c>
      <c r="D21" s="496">
        <f t="shared" si="0"/>
        <v>0</v>
      </c>
      <c r="E21" s="350">
        <f>'Rebate Information (Chillers-W)'!O18</f>
        <v>0</v>
      </c>
      <c r="F21" s="500">
        <f>'Rebate Information (Chillers-W)'!G18</f>
        <v>0</v>
      </c>
      <c r="G21" s="499">
        <f>'Rebate Information (Chillers-W)'!K18</f>
        <v>0</v>
      </c>
      <c r="H21" s="172">
        <f>'Rebate Information (Chillers-W)'!N18</f>
        <v>0</v>
      </c>
      <c r="I21" s="173">
        <f>G21*H21*'Rebate Information (Chillers-W)'!I18</f>
        <v>0</v>
      </c>
      <c r="J21" s="496">
        <f>H21*'Rebate Information (Chillers-W)'!I18*'Rebate Information (Chillers-W)'!M18*E21</f>
        <v>0</v>
      </c>
      <c r="K21" s="173">
        <f t="shared" si="1"/>
        <v>0</v>
      </c>
      <c r="L21" s="182">
        <f t="shared" si="2"/>
        <v>0</v>
      </c>
      <c r="M21" s="220">
        <f t="shared" si="3"/>
        <v>0</v>
      </c>
    </row>
    <row r="22" spans="1:13" ht="24.05" customHeight="1" x14ac:dyDescent="0.2">
      <c r="A22" s="332">
        <f>'Rebate Information (Chillers-W)'!D19</f>
        <v>0</v>
      </c>
      <c r="B22" s="172">
        <f>'Rebate Information (Chillers-W)'!E19</f>
        <v>0</v>
      </c>
      <c r="C22" s="499">
        <f>A22*B22*'Rebate Information (Chillers-W)'!C19</f>
        <v>0</v>
      </c>
      <c r="D22" s="496">
        <f t="shared" si="0"/>
        <v>0</v>
      </c>
      <c r="E22" s="350">
        <f>'Rebate Information (Chillers-W)'!O19</f>
        <v>0</v>
      </c>
      <c r="F22" s="500">
        <f>'Rebate Information (Chillers-W)'!G19</f>
        <v>0</v>
      </c>
      <c r="G22" s="499">
        <f>'Rebate Information (Chillers-W)'!K19</f>
        <v>0</v>
      </c>
      <c r="H22" s="172">
        <f>'Rebate Information (Chillers-W)'!N19</f>
        <v>0</v>
      </c>
      <c r="I22" s="173">
        <f>G22*H22*'Rebate Information (Chillers-W)'!I19</f>
        <v>0</v>
      </c>
      <c r="J22" s="496">
        <f>H22*'Rebate Information (Chillers-W)'!I19*'Rebate Information (Chillers-W)'!M19*E22</f>
        <v>0</v>
      </c>
      <c r="K22" s="173">
        <f t="shared" si="1"/>
        <v>0</v>
      </c>
      <c r="L22" s="182">
        <f t="shared" si="2"/>
        <v>0</v>
      </c>
      <c r="M22" s="220">
        <f t="shared" si="3"/>
        <v>0</v>
      </c>
    </row>
    <row r="23" spans="1:13" ht="9.85" customHeight="1" thickBot="1" x14ac:dyDescent="0.25"/>
    <row r="24" spans="1:13" ht="20.95" customHeight="1" thickBot="1" x14ac:dyDescent="0.25">
      <c r="A24" s="285" t="s">
        <v>123</v>
      </c>
      <c r="B24" s="286"/>
      <c r="C24" s="287" t="s">
        <v>129</v>
      </c>
      <c r="D24" s="288" t="s">
        <v>82</v>
      </c>
      <c r="F24" s="296" t="s">
        <v>13</v>
      </c>
      <c r="G24" s="297"/>
      <c r="H24" s="297"/>
      <c r="I24" s="298" t="s">
        <v>129</v>
      </c>
      <c r="J24" s="299" t="s">
        <v>82</v>
      </c>
    </row>
    <row r="25" spans="1:13" ht="20.95" customHeight="1" x14ac:dyDescent="0.2">
      <c r="A25" s="289"/>
      <c r="B25" s="290" t="s">
        <v>176</v>
      </c>
      <c r="C25" s="186">
        <f>SUM(C13:C22)</f>
        <v>0</v>
      </c>
      <c r="D25" s="291">
        <f>SUM(D13:D22)</f>
        <v>0</v>
      </c>
      <c r="F25" s="300"/>
      <c r="G25" s="301"/>
      <c r="H25" s="302" t="s">
        <v>176</v>
      </c>
      <c r="I25" s="187">
        <f>SUM(I13:I22)</f>
        <v>0</v>
      </c>
      <c r="J25" s="303">
        <f>SUM(J13:J22)</f>
        <v>0</v>
      </c>
    </row>
    <row r="26" spans="1:13" ht="20.95" customHeight="1" thickBot="1" x14ac:dyDescent="0.25">
      <c r="A26" s="292"/>
      <c r="B26" s="293" t="s">
        <v>177</v>
      </c>
      <c r="C26" s="294"/>
      <c r="D26" s="295">
        <f>D25*$L$3</f>
        <v>0</v>
      </c>
      <c r="E26" s="284"/>
      <c r="F26" s="304"/>
      <c r="G26" s="188"/>
      <c r="H26" s="305" t="s">
        <v>178</v>
      </c>
      <c r="I26" s="306"/>
      <c r="J26" s="307">
        <f>J25*$L$3</f>
        <v>0</v>
      </c>
    </row>
    <row r="27" spans="1:13" ht="6.75" customHeight="1" thickBot="1" x14ac:dyDescent="0.25">
      <c r="E27" s="88"/>
    </row>
    <row r="28" spans="1:13" ht="20.95" customHeight="1" thickBot="1" x14ac:dyDescent="0.25">
      <c r="E28" s="88"/>
      <c r="F28" s="308" t="s">
        <v>80</v>
      </c>
      <c r="G28" s="309"/>
      <c r="H28" s="309"/>
      <c r="I28" s="310" t="s">
        <v>129</v>
      </c>
      <c r="J28" s="311" t="s">
        <v>82</v>
      </c>
    </row>
    <row r="29" spans="1:13" ht="20.95" customHeight="1" x14ac:dyDescent="0.2">
      <c r="F29" s="312"/>
      <c r="G29" s="313"/>
      <c r="H29" s="314" t="s">
        <v>179</v>
      </c>
      <c r="I29" s="199">
        <f>(C25-I25)*0.9</f>
        <v>0</v>
      </c>
      <c r="J29" s="357">
        <f>D25-J25</f>
        <v>0</v>
      </c>
    </row>
    <row r="30" spans="1:13" ht="20.95" customHeight="1" thickBot="1" x14ac:dyDescent="0.25">
      <c r="F30" s="316"/>
      <c r="G30" s="190"/>
      <c r="H30" s="317" t="s">
        <v>180</v>
      </c>
      <c r="I30" s="189"/>
      <c r="J30" s="318">
        <f>D26-J26</f>
        <v>0</v>
      </c>
    </row>
    <row r="31" spans="1:13" ht="23.25" customHeight="1" x14ac:dyDescent="0.2"/>
  </sheetData>
  <sheetProtection selectLockedCells="1"/>
  <mergeCells count="5">
    <mergeCell ref="A10:D10"/>
    <mergeCell ref="B7:H7"/>
    <mergeCell ref="K8:M8"/>
    <mergeCell ref="A8:D8"/>
    <mergeCell ref="F8:J8"/>
  </mergeCells>
  <conditionalFormatting sqref="F11 M11 F13 D13 I13 L12:M13 A11:C13 E12:E13">
    <cfRule type="cellIs" dxfId="51" priority="50" stopIfTrue="1" operator="equal">
      <formula>0</formula>
    </cfRule>
  </conditionalFormatting>
  <conditionalFormatting sqref="G13">
    <cfRule type="cellIs" dxfId="50" priority="49" stopIfTrue="1" operator="equal">
      <formula>0</formula>
    </cfRule>
  </conditionalFormatting>
  <conditionalFormatting sqref="J13">
    <cfRule type="cellIs" dxfId="49" priority="48" stopIfTrue="1" operator="equal">
      <formula>0</formula>
    </cfRule>
  </conditionalFormatting>
  <conditionalFormatting sqref="K13">
    <cfRule type="cellIs" dxfId="48" priority="47" stopIfTrue="1" operator="equal">
      <formula>0</formula>
    </cfRule>
  </conditionalFormatting>
  <conditionalFormatting sqref="H13">
    <cfRule type="cellIs" dxfId="47" priority="46" stopIfTrue="1" operator="equal">
      <formula>0</formula>
    </cfRule>
  </conditionalFormatting>
  <conditionalFormatting sqref="I14 L14:M14 A14:F14">
    <cfRule type="cellIs" dxfId="46" priority="45" stopIfTrue="1" operator="equal">
      <formula>0</formula>
    </cfRule>
  </conditionalFormatting>
  <conditionalFormatting sqref="G14">
    <cfRule type="cellIs" dxfId="45" priority="44" stopIfTrue="1" operator="equal">
      <formula>0</formula>
    </cfRule>
  </conditionalFormatting>
  <conditionalFormatting sqref="J14">
    <cfRule type="cellIs" dxfId="44" priority="43" stopIfTrue="1" operator="equal">
      <formula>0</formula>
    </cfRule>
  </conditionalFormatting>
  <conditionalFormatting sqref="K14">
    <cfRule type="cellIs" dxfId="43" priority="42" stopIfTrue="1" operator="equal">
      <formula>0</formula>
    </cfRule>
  </conditionalFormatting>
  <conditionalFormatting sqref="H14">
    <cfRule type="cellIs" dxfId="42" priority="41" stopIfTrue="1" operator="equal">
      <formula>0</formula>
    </cfRule>
  </conditionalFormatting>
  <conditionalFormatting sqref="I15 L15:M15 A15:F15">
    <cfRule type="cellIs" dxfId="41" priority="40" stopIfTrue="1" operator="equal">
      <formula>0</formula>
    </cfRule>
  </conditionalFormatting>
  <conditionalFormatting sqref="G15">
    <cfRule type="cellIs" dxfId="40" priority="39" stopIfTrue="1" operator="equal">
      <formula>0</formula>
    </cfRule>
  </conditionalFormatting>
  <conditionalFormatting sqref="J15">
    <cfRule type="cellIs" dxfId="39" priority="38" stopIfTrue="1" operator="equal">
      <formula>0</formula>
    </cfRule>
  </conditionalFormatting>
  <conditionalFormatting sqref="K15">
    <cfRule type="cellIs" dxfId="38" priority="37" stopIfTrue="1" operator="equal">
      <formula>0</formula>
    </cfRule>
  </conditionalFormatting>
  <conditionalFormatting sqref="H15">
    <cfRule type="cellIs" dxfId="37" priority="36" stopIfTrue="1" operator="equal">
      <formula>0</formula>
    </cfRule>
  </conditionalFormatting>
  <conditionalFormatting sqref="I16 L16:M16 A16:F16">
    <cfRule type="cellIs" dxfId="36" priority="35" stopIfTrue="1" operator="equal">
      <formula>0</formula>
    </cfRule>
  </conditionalFormatting>
  <conditionalFormatting sqref="G16">
    <cfRule type="cellIs" dxfId="35" priority="34" stopIfTrue="1" operator="equal">
      <formula>0</formula>
    </cfRule>
  </conditionalFormatting>
  <conditionalFormatting sqref="J16">
    <cfRule type="cellIs" dxfId="34" priority="33" stopIfTrue="1" operator="equal">
      <formula>0</formula>
    </cfRule>
  </conditionalFormatting>
  <conditionalFormatting sqref="K16">
    <cfRule type="cellIs" dxfId="33" priority="32" stopIfTrue="1" operator="equal">
      <formula>0</formula>
    </cfRule>
  </conditionalFormatting>
  <conditionalFormatting sqref="H16">
    <cfRule type="cellIs" dxfId="32" priority="31" stopIfTrue="1" operator="equal">
      <formula>0</formula>
    </cfRule>
  </conditionalFormatting>
  <conditionalFormatting sqref="I17 L17:M17 A17:F17">
    <cfRule type="cellIs" dxfId="31" priority="30" stopIfTrue="1" operator="equal">
      <formula>0</formula>
    </cfRule>
  </conditionalFormatting>
  <conditionalFormatting sqref="G17">
    <cfRule type="cellIs" dxfId="30" priority="29" stopIfTrue="1" operator="equal">
      <formula>0</formula>
    </cfRule>
  </conditionalFormatting>
  <conditionalFormatting sqref="J17">
    <cfRule type="cellIs" dxfId="29" priority="28" stopIfTrue="1" operator="equal">
      <formula>0</formula>
    </cfRule>
  </conditionalFormatting>
  <conditionalFormatting sqref="K17">
    <cfRule type="cellIs" dxfId="28" priority="27" stopIfTrue="1" operator="equal">
      <formula>0</formula>
    </cfRule>
  </conditionalFormatting>
  <conditionalFormatting sqref="H17">
    <cfRule type="cellIs" dxfId="27" priority="26" stopIfTrue="1" operator="equal">
      <formula>0</formula>
    </cfRule>
  </conditionalFormatting>
  <conditionalFormatting sqref="I18 L18:M18 A18:F18">
    <cfRule type="cellIs" dxfId="26" priority="25" stopIfTrue="1" operator="equal">
      <formula>0</formula>
    </cfRule>
  </conditionalFormatting>
  <conditionalFormatting sqref="G18">
    <cfRule type="cellIs" dxfId="25" priority="24" stopIfTrue="1" operator="equal">
      <formula>0</formula>
    </cfRule>
  </conditionalFormatting>
  <conditionalFormatting sqref="J18">
    <cfRule type="cellIs" dxfId="24" priority="23" stopIfTrue="1" operator="equal">
      <formula>0</formula>
    </cfRule>
  </conditionalFormatting>
  <conditionalFormatting sqref="K18">
    <cfRule type="cellIs" dxfId="23" priority="22" stopIfTrue="1" operator="equal">
      <formula>0</formula>
    </cfRule>
  </conditionalFormatting>
  <conditionalFormatting sqref="H18">
    <cfRule type="cellIs" dxfId="22" priority="21" stopIfTrue="1" operator="equal">
      <formula>0</formula>
    </cfRule>
  </conditionalFormatting>
  <conditionalFormatting sqref="I19 L19:M19 A19:F19">
    <cfRule type="cellIs" dxfId="21" priority="20" stopIfTrue="1" operator="equal">
      <formula>0</formula>
    </cfRule>
  </conditionalFormatting>
  <conditionalFormatting sqref="G19">
    <cfRule type="cellIs" dxfId="20" priority="19" stopIfTrue="1" operator="equal">
      <formula>0</formula>
    </cfRule>
  </conditionalFormatting>
  <conditionalFormatting sqref="J19">
    <cfRule type="cellIs" dxfId="19" priority="18" stopIfTrue="1" operator="equal">
      <formula>0</formula>
    </cfRule>
  </conditionalFormatting>
  <conditionalFormatting sqref="K19">
    <cfRule type="cellIs" dxfId="18" priority="17" stopIfTrue="1" operator="equal">
      <formula>0</formula>
    </cfRule>
  </conditionalFormatting>
  <conditionalFormatting sqref="H19">
    <cfRule type="cellIs" dxfId="17" priority="16" stopIfTrue="1" operator="equal">
      <formula>0</formula>
    </cfRule>
  </conditionalFormatting>
  <conditionalFormatting sqref="I20 L20:M20 A20:F20">
    <cfRule type="cellIs" dxfId="16" priority="15" stopIfTrue="1" operator="equal">
      <formula>0</formula>
    </cfRule>
  </conditionalFormatting>
  <conditionalFormatting sqref="G20">
    <cfRule type="cellIs" dxfId="15" priority="14" stopIfTrue="1" operator="equal">
      <formula>0</formula>
    </cfRule>
  </conditionalFormatting>
  <conditionalFormatting sqref="J20">
    <cfRule type="cellIs" dxfId="14" priority="13" stopIfTrue="1" operator="equal">
      <formula>0</formula>
    </cfRule>
  </conditionalFormatting>
  <conditionalFormatting sqref="K20">
    <cfRule type="cellIs" dxfId="13" priority="12" stopIfTrue="1" operator="equal">
      <formula>0</formula>
    </cfRule>
  </conditionalFormatting>
  <conditionalFormatting sqref="H20">
    <cfRule type="cellIs" dxfId="12" priority="11" stopIfTrue="1" operator="equal">
      <formula>0</formula>
    </cfRule>
  </conditionalFormatting>
  <conditionalFormatting sqref="I21 L21:M21 A21:F21">
    <cfRule type="cellIs" dxfId="11" priority="10" stopIfTrue="1" operator="equal">
      <formula>0</formula>
    </cfRule>
  </conditionalFormatting>
  <conditionalFormatting sqref="G21">
    <cfRule type="cellIs" dxfId="10" priority="9" stopIfTrue="1" operator="equal">
      <formula>0</formula>
    </cfRule>
  </conditionalFormatting>
  <conditionalFormatting sqref="J21">
    <cfRule type="cellIs" dxfId="9" priority="8" stopIfTrue="1" operator="equal">
      <formula>0</formula>
    </cfRule>
  </conditionalFormatting>
  <conditionalFormatting sqref="K21">
    <cfRule type="cellIs" dxfId="8" priority="7" stopIfTrue="1" operator="equal">
      <formula>0</formula>
    </cfRule>
  </conditionalFormatting>
  <conditionalFormatting sqref="H21">
    <cfRule type="cellIs" dxfId="7" priority="6" stopIfTrue="1" operator="equal">
      <formula>0</formula>
    </cfRule>
  </conditionalFormatting>
  <conditionalFormatting sqref="I22 L22:M22 A22:F22">
    <cfRule type="cellIs" dxfId="6" priority="5" stopIfTrue="1" operator="equal">
      <formula>0</formula>
    </cfRule>
  </conditionalFormatting>
  <conditionalFormatting sqref="G22">
    <cfRule type="cellIs" dxfId="5" priority="4" stopIfTrue="1" operator="equal">
      <formula>0</formula>
    </cfRule>
  </conditionalFormatting>
  <conditionalFormatting sqref="J22">
    <cfRule type="cellIs" dxfId="4" priority="3" stopIfTrue="1" operator="equal">
      <formula>0</formula>
    </cfRule>
  </conditionalFormatting>
  <conditionalFormatting sqref="K22">
    <cfRule type="cellIs" dxfId="3" priority="2" stopIfTrue="1" operator="equal">
      <formula>0</formula>
    </cfRule>
  </conditionalFormatting>
  <conditionalFormatting sqref="H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31"/>
  <sheetViews>
    <sheetView zoomScaleNormal="100" workbookViewId="0">
      <selection activeCell="B70" sqref="B70"/>
    </sheetView>
  </sheetViews>
  <sheetFormatPr defaultRowHeight="12.45" x14ac:dyDescent="0.2"/>
  <cols>
    <col min="1" max="1" width="18.875" customWidth="1"/>
    <col min="2" max="2" width="14" customWidth="1"/>
    <col min="3" max="3" width="9.25" customWidth="1"/>
    <col min="4" max="4" width="11" customWidth="1"/>
    <col min="5" max="5" width="10.75" customWidth="1"/>
    <col min="6" max="6" width="12.75" customWidth="1"/>
    <col min="7" max="7" width="11.875" customWidth="1"/>
    <col min="8" max="8" width="9.125" customWidth="1"/>
    <col min="9" max="9" width="9.25" customWidth="1"/>
    <col min="10" max="10" width="10.125" bestFit="1" customWidth="1"/>
    <col min="11" max="11" width="9.875" bestFit="1" customWidth="1"/>
    <col min="12" max="12" width="10.125" bestFit="1" customWidth="1"/>
    <col min="13" max="13" width="10.375" bestFit="1" customWidth="1"/>
    <col min="14" max="14" width="9.25" bestFit="1" customWidth="1"/>
    <col min="15" max="15" width="10.875" bestFit="1" customWidth="1"/>
    <col min="16" max="16" width="11.875" customWidth="1"/>
  </cols>
  <sheetData>
    <row r="1" spans="1:26" s="2" customFormat="1" ht="19.5" customHeight="1" thickBot="1" x14ac:dyDescent="0.25">
      <c r="A1" s="780" t="s">
        <v>218</v>
      </c>
      <c r="B1" s="781"/>
      <c r="C1" s="781"/>
      <c r="D1" s="781"/>
      <c r="E1" s="781"/>
      <c r="F1" s="781"/>
      <c r="G1" s="781"/>
      <c r="H1" s="781"/>
      <c r="I1" s="781"/>
      <c r="J1" s="781"/>
      <c r="K1" s="781"/>
      <c r="L1" s="781"/>
      <c r="M1" s="781"/>
      <c r="N1" s="781"/>
      <c r="O1" s="782"/>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6"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783" t="s">
        <v>181</v>
      </c>
      <c r="B6" s="783"/>
      <c r="C6" s="783"/>
      <c r="D6" s="783"/>
      <c r="E6" s="783"/>
      <c r="F6" s="783"/>
      <c r="G6" s="783"/>
      <c r="H6" s="783"/>
      <c r="I6" s="783"/>
      <c r="J6" s="783"/>
      <c r="K6" s="783"/>
      <c r="L6" s="783"/>
      <c r="M6" s="783"/>
      <c r="N6" s="783"/>
      <c r="O6" s="783"/>
      <c r="P6" s="86"/>
    </row>
    <row r="7" spans="1:26" ht="4.5999999999999996" customHeight="1" thickBot="1" x14ac:dyDescent="0.25">
      <c r="A7" s="85"/>
      <c r="B7" s="778"/>
      <c r="C7" s="778"/>
      <c r="D7" s="778"/>
      <c r="E7" s="778"/>
      <c r="F7" s="778"/>
      <c r="G7" s="778"/>
      <c r="H7" s="778"/>
      <c r="I7" s="85"/>
      <c r="J7" s="85"/>
      <c r="K7" s="85"/>
      <c r="L7" s="85"/>
      <c r="M7" s="85"/>
      <c r="Q7" s="86"/>
      <c r="R7" s="86"/>
      <c r="S7" s="86"/>
      <c r="T7" s="86"/>
    </row>
    <row r="8" spans="1:26" s="86" customFormat="1" ht="13.1" thickBot="1" x14ac:dyDescent="0.25">
      <c r="A8" s="738" t="s">
        <v>123</v>
      </c>
      <c r="B8" s="739"/>
      <c r="C8" s="739"/>
      <c r="D8" s="739"/>
      <c r="E8" s="740"/>
      <c r="F8"/>
      <c r="G8" s="733" t="s">
        <v>13</v>
      </c>
      <c r="H8" s="734"/>
      <c r="I8" s="734"/>
      <c r="J8" s="734"/>
      <c r="K8" s="734"/>
      <c r="L8" s="735"/>
      <c r="M8" s="779" t="s">
        <v>80</v>
      </c>
      <c r="N8" s="736"/>
      <c r="O8" s="737"/>
      <c r="P8"/>
      <c r="Q8"/>
      <c r="R8"/>
      <c r="S8"/>
      <c r="T8"/>
      <c r="U8"/>
      <c r="V8"/>
    </row>
    <row r="9" spans="1:26" ht="13.6" hidden="1" customHeight="1" thickBot="1" x14ac:dyDescent="0.25">
      <c r="A9" s="343"/>
      <c r="B9" s="87"/>
      <c r="C9" s="87"/>
      <c r="D9" s="87"/>
      <c r="E9" s="344"/>
      <c r="F9" s="87"/>
      <c r="G9" s="343"/>
      <c r="H9" s="358"/>
      <c r="I9" s="358"/>
      <c r="J9" s="358"/>
      <c r="K9" s="358"/>
      <c r="L9" s="358"/>
      <c r="M9" s="184"/>
      <c r="N9" s="184"/>
      <c r="O9" s="184"/>
    </row>
    <row r="10" spans="1:26" ht="13.6" hidden="1" customHeight="1" thickBot="1" x14ac:dyDescent="0.25">
      <c r="A10" s="351" t="s">
        <v>123</v>
      </c>
      <c r="B10" s="226"/>
      <c r="C10" s="226"/>
      <c r="D10" s="226"/>
      <c r="E10" s="227"/>
      <c r="F10" s="226"/>
      <c r="G10" s="351"/>
      <c r="H10" s="183"/>
      <c r="I10" s="183"/>
      <c r="J10" s="183" t="s">
        <v>13</v>
      </c>
      <c r="K10" s="183"/>
      <c r="L10" s="183"/>
      <c r="M10" s="183"/>
      <c r="N10" s="183"/>
      <c r="O10" s="183"/>
    </row>
    <row r="11" spans="1:26" ht="13.1" hidden="1" thickBot="1" x14ac:dyDescent="0.25">
      <c r="A11" s="174"/>
      <c r="B11" s="174"/>
      <c r="C11" s="174"/>
      <c r="D11" s="174"/>
      <c r="E11" s="174"/>
      <c r="F11" s="359"/>
      <c r="G11" s="176"/>
      <c r="H11" s="174"/>
      <c r="I11" s="174"/>
      <c r="J11" s="174"/>
      <c r="K11" s="174"/>
      <c r="L11" s="174"/>
      <c r="M11" s="174"/>
      <c r="N11" s="174"/>
      <c r="O11" s="174"/>
      <c r="R11" s="96"/>
    </row>
    <row r="12" spans="1:26" ht="32.1" thickBot="1" x14ac:dyDescent="0.25">
      <c r="A12" s="175" t="s">
        <v>227</v>
      </c>
      <c r="B12" s="175" t="s">
        <v>228</v>
      </c>
      <c r="C12" s="175" t="s">
        <v>34</v>
      </c>
      <c r="D12" s="175" t="s">
        <v>124</v>
      </c>
      <c r="E12" s="175" t="s">
        <v>125</v>
      </c>
      <c r="F12" s="349" t="s">
        <v>81</v>
      </c>
      <c r="G12" s="177" t="s">
        <v>126</v>
      </c>
      <c r="H12" s="175" t="s">
        <v>229</v>
      </c>
      <c r="I12" s="175" t="s">
        <v>230</v>
      </c>
      <c r="J12" s="175" t="s">
        <v>34</v>
      </c>
      <c r="K12" s="175" t="s">
        <v>127</v>
      </c>
      <c r="L12" s="175" t="s">
        <v>128</v>
      </c>
      <c r="M12" s="175" t="s">
        <v>129</v>
      </c>
      <c r="N12" s="175" t="s">
        <v>82</v>
      </c>
      <c r="O12" s="175" t="s">
        <v>83</v>
      </c>
    </row>
    <row r="13" spans="1:26" ht="24.05" customHeight="1" x14ac:dyDescent="0.2">
      <c r="A13" s="332"/>
      <c r="B13" s="172" t="str">
        <f>'Rebate Information (Chillers-A)'!L10</f>
        <v/>
      </c>
      <c r="C13" s="172">
        <f>'Rebate Information (Chillers-A)'!E10</f>
        <v>0</v>
      </c>
      <c r="D13" s="219" t="str">
        <f>IFERROR(12/'Rebate Information (Chillers-A)'!D10*'Rebate Information (Chillers-A)'!C10*'Rebate Information (Chillers-A)'!E10,"")</f>
        <v/>
      </c>
      <c r="E13" s="342" t="str">
        <f>IFERROR(12/B13*'Rebate Information (Chillers-A)'!C10*'Air Cooled Chillers Savings'!F13*C13,"")</f>
        <v/>
      </c>
      <c r="F13" s="350">
        <f>IFERROR('Rebate Information (Chillers-A)'!O10,"")</f>
        <v>0</v>
      </c>
      <c r="G13" s="333" t="str">
        <f>CONCATENATE('Rebate Information (Chillers-A)'!H10," ",'Rebate Information (Chillers-A)'!G10)</f>
        <v xml:space="preserve"> </v>
      </c>
      <c r="H13" s="178" t="str">
        <f>IF(ISNUMBER('Rebate Information (Chillers-A)'!K10),'Rebate Information (Chillers-A)'!K10,"")</f>
        <v/>
      </c>
      <c r="I13" s="178">
        <f>'Rebate Information (Chillers-A)'!M10</f>
        <v>0</v>
      </c>
      <c r="J13" s="179" t="str">
        <f>IF(ISNUMBER('Rebate Information (Chillers-A)'!N10),'Rebate Information (Chillers-A)'!N10,"")</f>
        <v/>
      </c>
      <c r="K13" s="173" t="str">
        <f>IFERROR(12/'Rebate Information (Chillers-A)'!K10*'Rebate Information (Chillers-A)'!I10*'Rebate Information (Chillers-A)'!N10,"")</f>
        <v/>
      </c>
      <c r="L13" s="180" t="str">
        <f>IFERROR(12/I13*'Rebate Information (Chillers-A)'!I10*F13*'Air Cooled Chillers Savings'!J13,"")</f>
        <v/>
      </c>
      <c r="M13" s="181" t="str">
        <f t="shared" ref="M13:M22" si="0">IFERROR(IF(ISERROR(D13-K13),"",D13-K13)*0.9,"")</f>
        <v/>
      </c>
      <c r="N13" s="182" t="str">
        <f t="shared" ref="N13:N22" si="1">IF(ISERROR(E13-L13),"",E13-L13)</f>
        <v/>
      </c>
      <c r="O13" s="220" t="str">
        <f t="shared" ref="O13:O22" si="2">IFERROR(N13*$L$3,"")</f>
        <v/>
      </c>
    </row>
    <row r="14" spans="1:26" ht="24.05" customHeight="1" x14ac:dyDescent="0.2">
      <c r="A14" s="332">
        <f>'Rebate Information (Chillers-A)'!D11</f>
        <v>0</v>
      </c>
      <c r="B14" s="172" t="str">
        <f>'Rebate Information (Chillers-A)'!L11</f>
        <v/>
      </c>
      <c r="C14" s="172">
        <f>'Rebate Information (Chillers-A)'!E11</f>
        <v>0</v>
      </c>
      <c r="D14" s="219" t="str">
        <f>IFERROR(12/'Rebate Information (Chillers-A)'!D11*'Rebate Information (Chillers-A)'!C11*'Rebate Information (Chillers-A)'!E11,"")</f>
        <v/>
      </c>
      <c r="E14" s="342" t="str">
        <f>IFERROR(12/B14*'Rebate Information (Chillers-A)'!C11*'Air Cooled Chillers Savings'!F14*C14,"")</f>
        <v/>
      </c>
      <c r="F14" s="350">
        <f>IFERROR('Rebate Information (Chillers-A)'!O11,"")</f>
        <v>0</v>
      </c>
      <c r="G14" s="333" t="str">
        <f>CONCATENATE('Rebate Information (Chillers-A)'!H11," ",'Rebate Information (Chillers-A)'!G11)</f>
        <v xml:space="preserve"> </v>
      </c>
      <c r="H14" s="178" t="str">
        <f>IF(ISNUMBER('Rebate Information (Chillers-A)'!K11),'Rebate Information (Chillers-A)'!K11,"")</f>
        <v/>
      </c>
      <c r="I14" s="178">
        <f>'Rebate Information (Chillers-A)'!M11</f>
        <v>0</v>
      </c>
      <c r="J14" s="179" t="str">
        <f>IF(ISNUMBER('Rebate Information (Chillers-A)'!N11),'Rebate Information (Chillers-A)'!N11,"")</f>
        <v/>
      </c>
      <c r="K14" s="173" t="str">
        <f>IFERROR(12/'Rebate Information (Chillers-A)'!K11*'Rebate Information (Chillers-A)'!I11*'Rebate Information (Chillers-A)'!N11,"")</f>
        <v/>
      </c>
      <c r="L14" s="180" t="str">
        <f>IFERROR(12/I14*'Rebate Information (Chillers-A)'!I11*F14*'Air Cooled Chillers Savings'!J14,"")</f>
        <v/>
      </c>
      <c r="M14" s="181" t="str">
        <f t="shared" si="0"/>
        <v/>
      </c>
      <c r="N14" s="182" t="str">
        <f t="shared" si="1"/>
        <v/>
      </c>
      <c r="O14" s="220" t="str">
        <f t="shared" si="2"/>
        <v/>
      </c>
    </row>
    <row r="15" spans="1:26" ht="24.05" customHeight="1" x14ac:dyDescent="0.2">
      <c r="A15" s="332">
        <f>'Rebate Information (Chillers-A)'!D12</f>
        <v>0</v>
      </c>
      <c r="B15" s="172" t="str">
        <f>'Rebate Information (Chillers-A)'!L12</f>
        <v/>
      </c>
      <c r="C15" s="172">
        <f>'Rebate Information (Chillers-A)'!E12</f>
        <v>0</v>
      </c>
      <c r="D15" s="219" t="str">
        <f>IFERROR(12/'Rebate Information (Chillers-A)'!D12*'Rebate Information (Chillers-A)'!C12*'Rebate Information (Chillers-A)'!E12,"")</f>
        <v/>
      </c>
      <c r="E15" s="342" t="str">
        <f>IFERROR(12/B15*'Rebate Information (Chillers-A)'!C12*'Air Cooled Chillers Savings'!F15*C15,"")</f>
        <v/>
      </c>
      <c r="F15" s="350">
        <f>IFERROR('Rebate Information (Chillers-A)'!O12,"")</f>
        <v>0</v>
      </c>
      <c r="G15" s="333" t="str">
        <f>CONCATENATE('Rebate Information (Chillers-A)'!H12," ",'Rebate Information (Chillers-A)'!G12)</f>
        <v xml:space="preserve"> </v>
      </c>
      <c r="H15" s="178" t="str">
        <f>IF(ISNUMBER('Rebate Information (Chillers-A)'!K12),'Rebate Information (Chillers-A)'!K12,"")</f>
        <v/>
      </c>
      <c r="I15" s="178">
        <f>'Rebate Information (Chillers-A)'!M12</f>
        <v>0</v>
      </c>
      <c r="J15" s="179" t="str">
        <f>IF(ISNUMBER('Rebate Information (Chillers-A)'!N12),'Rebate Information (Chillers-A)'!N12,"")</f>
        <v/>
      </c>
      <c r="K15" s="173" t="str">
        <f>IFERROR(12/'Rebate Information (Chillers-A)'!K12*'Rebate Information (Chillers-A)'!I12*'Rebate Information (Chillers-A)'!N12,"")</f>
        <v/>
      </c>
      <c r="L15" s="180" t="str">
        <f>IFERROR(12/I15*'Rebate Information (Chillers-A)'!I12*F15*'Air Cooled Chillers Savings'!J15,"")</f>
        <v/>
      </c>
      <c r="M15" s="181" t="str">
        <f t="shared" si="0"/>
        <v/>
      </c>
      <c r="N15" s="182" t="str">
        <f t="shared" si="1"/>
        <v/>
      </c>
      <c r="O15" s="220" t="str">
        <f t="shared" si="2"/>
        <v/>
      </c>
    </row>
    <row r="16" spans="1:26" ht="24.05" customHeight="1" x14ac:dyDescent="0.2">
      <c r="A16" s="332">
        <f>'Rebate Information (Chillers-A)'!D13</f>
        <v>0</v>
      </c>
      <c r="B16" s="172" t="str">
        <f>'Rebate Information (Chillers-A)'!L13</f>
        <v/>
      </c>
      <c r="C16" s="172">
        <f>'Rebate Information (Chillers-A)'!E13</f>
        <v>0</v>
      </c>
      <c r="D16" s="219" t="str">
        <f>IFERROR(12/'Rebate Information (Chillers-A)'!D13*'Rebate Information (Chillers-A)'!C13*'Rebate Information (Chillers-A)'!E13,"")</f>
        <v/>
      </c>
      <c r="E16" s="342" t="str">
        <f>IFERROR(12/B16*'Rebate Information (Chillers-A)'!C13*'Air Cooled Chillers Savings'!F16*C16,"")</f>
        <v/>
      </c>
      <c r="F16" s="350">
        <f>IFERROR('Rebate Information (Chillers-A)'!O13,"")</f>
        <v>0</v>
      </c>
      <c r="G16" s="333" t="str">
        <f>CONCATENATE('Rebate Information (Chillers-A)'!H13," ",'Rebate Information (Chillers-A)'!G13)</f>
        <v xml:space="preserve"> </v>
      </c>
      <c r="H16" s="178" t="str">
        <f>IF(ISNUMBER('Rebate Information (Chillers-A)'!K13),'Rebate Information (Chillers-A)'!K13,"")</f>
        <v/>
      </c>
      <c r="I16" s="178">
        <f>'Rebate Information (Chillers-A)'!M13</f>
        <v>0</v>
      </c>
      <c r="J16" s="179" t="str">
        <f>IF(ISNUMBER('Rebate Information (Chillers-A)'!N13),'Rebate Information (Chillers-A)'!N13,"")</f>
        <v/>
      </c>
      <c r="K16" s="173" t="str">
        <f>IFERROR(12/'Rebate Information (Chillers-A)'!K13*'Rebate Information (Chillers-A)'!I13*'Rebate Information (Chillers-A)'!N13,"")</f>
        <v/>
      </c>
      <c r="L16" s="180" t="str">
        <f>IFERROR(12/I16*'Rebate Information (Chillers-A)'!I13*F16*'Air Cooled Chillers Savings'!J16,"")</f>
        <v/>
      </c>
      <c r="M16" s="181" t="str">
        <f t="shared" si="0"/>
        <v/>
      </c>
      <c r="N16" s="182" t="str">
        <f t="shared" si="1"/>
        <v/>
      </c>
      <c r="O16" s="220" t="str">
        <f t="shared" si="2"/>
        <v/>
      </c>
    </row>
    <row r="17" spans="1:15" ht="24.05" customHeight="1" x14ac:dyDescent="0.2">
      <c r="A17" s="332">
        <f>'Rebate Information (Chillers-A)'!D14</f>
        <v>0</v>
      </c>
      <c r="B17" s="172" t="str">
        <f>'Rebate Information (Chillers-A)'!L14</f>
        <v/>
      </c>
      <c r="C17" s="172">
        <f>'Rebate Information (Chillers-A)'!E14</f>
        <v>0</v>
      </c>
      <c r="D17" s="219" t="str">
        <f>IFERROR(12/'Rebate Information (Chillers-A)'!D14*'Rebate Information (Chillers-A)'!C14*'Rebate Information (Chillers-A)'!E14,"")</f>
        <v/>
      </c>
      <c r="E17" s="342" t="str">
        <f>IFERROR(12/B17*'Rebate Information (Chillers-A)'!C14*'Air Cooled Chillers Savings'!F17*C17,"")</f>
        <v/>
      </c>
      <c r="F17" s="350">
        <f>IFERROR('Rebate Information (Chillers-A)'!O14,"")</f>
        <v>0</v>
      </c>
      <c r="G17" s="333" t="str">
        <f>CONCATENATE('Rebate Information (Chillers-A)'!H14," ",'Rebate Information (Chillers-A)'!G14)</f>
        <v xml:space="preserve"> </v>
      </c>
      <c r="H17" s="178" t="str">
        <f>IF(ISNUMBER('Rebate Information (Chillers-A)'!K14),'Rebate Information (Chillers-A)'!K14,"")</f>
        <v/>
      </c>
      <c r="I17" s="178">
        <f>'Rebate Information (Chillers-A)'!M14</f>
        <v>0</v>
      </c>
      <c r="J17" s="179" t="str">
        <f>IF(ISNUMBER('Rebate Information (Chillers-A)'!N14),'Rebate Information (Chillers-A)'!N14,"")</f>
        <v/>
      </c>
      <c r="K17" s="173" t="str">
        <f>IFERROR(12/'Rebate Information (Chillers-A)'!K14*'Rebate Information (Chillers-A)'!I14*'Rebate Information (Chillers-A)'!N14,"")</f>
        <v/>
      </c>
      <c r="L17" s="180" t="str">
        <f>IFERROR(12/I17*'Rebate Information (Chillers-A)'!I14*F17*'Air Cooled Chillers Savings'!J17,"")</f>
        <v/>
      </c>
      <c r="M17" s="181" t="str">
        <f t="shared" si="0"/>
        <v/>
      </c>
      <c r="N17" s="182" t="str">
        <f t="shared" si="1"/>
        <v/>
      </c>
      <c r="O17" s="220" t="str">
        <f t="shared" si="2"/>
        <v/>
      </c>
    </row>
    <row r="18" spans="1:15" ht="24.05" customHeight="1" x14ac:dyDescent="0.2">
      <c r="A18" s="332">
        <f>'Rebate Information (Chillers-A)'!D15</f>
        <v>0</v>
      </c>
      <c r="B18" s="172" t="str">
        <f>'Rebate Information (Chillers-A)'!L15</f>
        <v/>
      </c>
      <c r="C18" s="172">
        <f>'Rebate Information (Chillers-A)'!E15</f>
        <v>0</v>
      </c>
      <c r="D18" s="219" t="str">
        <f>IFERROR(12/'Rebate Information (Chillers-A)'!D15*'Rebate Information (Chillers-A)'!C15*'Rebate Information (Chillers-A)'!E15,"")</f>
        <v/>
      </c>
      <c r="E18" s="342" t="str">
        <f>IFERROR(12/B18*'Rebate Information (Chillers-A)'!C15*'Air Cooled Chillers Savings'!F18*C18,"")</f>
        <v/>
      </c>
      <c r="F18" s="350">
        <f>IFERROR('Rebate Information (Chillers-A)'!O15,"")</f>
        <v>0</v>
      </c>
      <c r="G18" s="333" t="str">
        <f>CONCATENATE('Rebate Information (Chillers-A)'!H15," ",'Rebate Information (Chillers-A)'!G15)</f>
        <v xml:space="preserve"> </v>
      </c>
      <c r="H18" s="178" t="str">
        <f>IF(ISNUMBER('Rebate Information (Chillers-A)'!K15),'Rebate Information (Chillers-A)'!K15,"")</f>
        <v/>
      </c>
      <c r="I18" s="178">
        <f>'Rebate Information (Chillers-A)'!M15</f>
        <v>0</v>
      </c>
      <c r="J18" s="179" t="str">
        <f>IF(ISNUMBER('Rebate Information (Chillers-A)'!N15),'Rebate Information (Chillers-A)'!N15,"")</f>
        <v/>
      </c>
      <c r="K18" s="173" t="str">
        <f>IFERROR(12/'Rebate Information (Chillers-A)'!K15*'Rebate Information (Chillers-A)'!I15*'Rebate Information (Chillers-A)'!N15,"")</f>
        <v/>
      </c>
      <c r="L18" s="180" t="str">
        <f>IFERROR(12/I18*'Rebate Information (Chillers-A)'!I15*F18*'Air Cooled Chillers Savings'!J18,"")</f>
        <v/>
      </c>
      <c r="M18" s="181" t="str">
        <f t="shared" si="0"/>
        <v/>
      </c>
      <c r="N18" s="182" t="str">
        <f t="shared" si="1"/>
        <v/>
      </c>
      <c r="O18" s="220" t="str">
        <f t="shared" si="2"/>
        <v/>
      </c>
    </row>
    <row r="19" spans="1:15" ht="24.05" customHeight="1" x14ac:dyDescent="0.2">
      <c r="A19" s="332">
        <f>'Rebate Information (Chillers-A)'!D16</f>
        <v>0</v>
      </c>
      <c r="B19" s="172" t="str">
        <f>'Rebate Information (Chillers-A)'!L16</f>
        <v/>
      </c>
      <c r="C19" s="172">
        <f>'Rebate Information (Chillers-A)'!E16</f>
        <v>0</v>
      </c>
      <c r="D19" s="219" t="str">
        <f>IFERROR(12/'Rebate Information (Chillers-A)'!D16*'Rebate Information (Chillers-A)'!C16*'Rebate Information (Chillers-A)'!E16,"")</f>
        <v/>
      </c>
      <c r="E19" s="342" t="str">
        <f>IFERROR(12/B19*'Rebate Information (Chillers-A)'!C16*'Air Cooled Chillers Savings'!F19*C19,"")</f>
        <v/>
      </c>
      <c r="F19" s="350">
        <f>IFERROR('Rebate Information (Chillers-A)'!O16,"")</f>
        <v>0</v>
      </c>
      <c r="G19" s="333" t="str">
        <f>CONCATENATE('Rebate Information (Chillers-A)'!H16," ",'Rebate Information (Chillers-A)'!G16)</f>
        <v xml:space="preserve"> </v>
      </c>
      <c r="H19" s="178" t="str">
        <f>IF(ISNUMBER('Rebate Information (Chillers-A)'!K16),'Rebate Information (Chillers-A)'!K16,"")</f>
        <v/>
      </c>
      <c r="I19" s="178">
        <f>'Rebate Information (Chillers-A)'!M16</f>
        <v>0</v>
      </c>
      <c r="J19" s="179" t="str">
        <f>IF(ISNUMBER('Rebate Information (Chillers-A)'!N16),'Rebate Information (Chillers-A)'!N16,"")</f>
        <v/>
      </c>
      <c r="K19" s="173" t="str">
        <f>IFERROR(12/'Rebate Information (Chillers-A)'!K16*'Rebate Information (Chillers-A)'!I16*'Rebate Information (Chillers-A)'!N16,"")</f>
        <v/>
      </c>
      <c r="L19" s="180" t="str">
        <f>IFERROR(12/I19*'Rebate Information (Chillers-A)'!I16*F19*'Air Cooled Chillers Savings'!J19,"")</f>
        <v/>
      </c>
      <c r="M19" s="181" t="str">
        <f t="shared" si="0"/>
        <v/>
      </c>
      <c r="N19" s="182" t="str">
        <f t="shared" si="1"/>
        <v/>
      </c>
      <c r="O19" s="220" t="str">
        <f t="shared" si="2"/>
        <v/>
      </c>
    </row>
    <row r="20" spans="1:15" ht="24.05" customHeight="1" x14ac:dyDescent="0.2">
      <c r="A20" s="332">
        <f>'Rebate Information (Chillers-A)'!D17</f>
        <v>0</v>
      </c>
      <c r="B20" s="172" t="str">
        <f>'Rebate Information (Chillers-A)'!L17</f>
        <v/>
      </c>
      <c r="C20" s="172">
        <f>'Rebate Information (Chillers-A)'!E17</f>
        <v>0</v>
      </c>
      <c r="D20" s="219" t="str">
        <f>IFERROR(12/'Rebate Information (Chillers-A)'!D17*'Rebate Information (Chillers-A)'!C17*'Rebate Information (Chillers-A)'!E17,"")</f>
        <v/>
      </c>
      <c r="E20" s="342" t="str">
        <f>IFERROR(12/B20*'Rebate Information (Chillers-A)'!C17*'Air Cooled Chillers Savings'!F20*C20,"")</f>
        <v/>
      </c>
      <c r="F20" s="350">
        <f>IFERROR('Rebate Information (Chillers-A)'!O17,"")</f>
        <v>0</v>
      </c>
      <c r="G20" s="333" t="str">
        <f>CONCATENATE('Rebate Information (Chillers-A)'!H17," ",'Rebate Information (Chillers-A)'!G17)</f>
        <v xml:space="preserve"> </v>
      </c>
      <c r="H20" s="178" t="str">
        <f>IF(ISNUMBER('Rebate Information (Chillers-A)'!K17),'Rebate Information (Chillers-A)'!K17,"")</f>
        <v/>
      </c>
      <c r="I20" s="178">
        <f>'Rebate Information (Chillers-A)'!M17</f>
        <v>0</v>
      </c>
      <c r="J20" s="179" t="str">
        <f>IF(ISNUMBER('Rebate Information (Chillers-A)'!N17),'Rebate Information (Chillers-A)'!N17,"")</f>
        <v/>
      </c>
      <c r="K20" s="173" t="str">
        <f>IFERROR(12/'Rebate Information (Chillers-A)'!K17*'Rebate Information (Chillers-A)'!I17*'Rebate Information (Chillers-A)'!N17,"")</f>
        <v/>
      </c>
      <c r="L20" s="180" t="str">
        <f>IFERROR(12/I20*'Rebate Information (Chillers-A)'!I17*F20*'Air Cooled Chillers Savings'!J20,"")</f>
        <v/>
      </c>
      <c r="M20" s="181" t="str">
        <f t="shared" si="0"/>
        <v/>
      </c>
      <c r="N20" s="182" t="str">
        <f t="shared" si="1"/>
        <v/>
      </c>
      <c r="O20" s="220" t="str">
        <f t="shared" si="2"/>
        <v/>
      </c>
    </row>
    <row r="21" spans="1:15" ht="24.05" customHeight="1" x14ac:dyDescent="0.2">
      <c r="A21" s="332">
        <f>'Rebate Information (Chillers-A)'!D18</f>
        <v>0</v>
      </c>
      <c r="B21" s="172" t="str">
        <f>'Rebate Information (Chillers-A)'!L18</f>
        <v/>
      </c>
      <c r="C21" s="172">
        <f>'Rebate Information (Chillers-A)'!E18</f>
        <v>0</v>
      </c>
      <c r="D21" s="219" t="str">
        <f>IFERROR(12/'Rebate Information (Chillers-A)'!D18*'Rebate Information (Chillers-A)'!C18*'Rebate Information (Chillers-A)'!E18,"")</f>
        <v/>
      </c>
      <c r="E21" s="342" t="str">
        <f>IFERROR(12/B21*'Rebate Information (Chillers-A)'!C18*'Air Cooled Chillers Savings'!F21*C21,"")</f>
        <v/>
      </c>
      <c r="F21" s="350">
        <f>IFERROR('Rebate Information (Chillers-A)'!O18,"")</f>
        <v>0</v>
      </c>
      <c r="G21" s="333" t="str">
        <f>CONCATENATE('Rebate Information (Chillers-A)'!H18," ",'Rebate Information (Chillers-A)'!G18)</f>
        <v xml:space="preserve"> </v>
      </c>
      <c r="H21" s="178" t="str">
        <f>IF(ISNUMBER('Rebate Information (Chillers-A)'!K18),'Rebate Information (Chillers-A)'!K18,"")</f>
        <v/>
      </c>
      <c r="I21" s="178">
        <f>'Rebate Information (Chillers-A)'!M18</f>
        <v>0</v>
      </c>
      <c r="J21" s="179" t="str">
        <f>IF(ISNUMBER('Rebate Information (Chillers-A)'!N18),'Rebate Information (Chillers-A)'!N18,"")</f>
        <v/>
      </c>
      <c r="K21" s="173" t="str">
        <f>IFERROR(12/'Rebate Information (Chillers-A)'!K18*'Rebate Information (Chillers-A)'!I18*'Rebate Information (Chillers-A)'!N18,"")</f>
        <v/>
      </c>
      <c r="L21" s="180" t="str">
        <f>IFERROR(12/I21*'Rebate Information (Chillers-A)'!I18*F21*'Air Cooled Chillers Savings'!J21,"")</f>
        <v/>
      </c>
      <c r="M21" s="181" t="str">
        <f t="shared" si="0"/>
        <v/>
      </c>
      <c r="N21" s="182" t="str">
        <f t="shared" si="1"/>
        <v/>
      </c>
      <c r="O21" s="220" t="str">
        <f t="shared" si="2"/>
        <v/>
      </c>
    </row>
    <row r="22" spans="1:15" ht="24.05" customHeight="1" thickBot="1" x14ac:dyDescent="0.25">
      <c r="A22" s="345">
        <f>'Rebate Information (Chillers-A)'!D19</f>
        <v>0</v>
      </c>
      <c r="B22" s="346" t="str">
        <f>'Rebate Information (Chillers-A)'!L19</f>
        <v/>
      </c>
      <c r="C22" s="346">
        <f>'Rebate Information (Chillers-A)'!E19</f>
        <v>0</v>
      </c>
      <c r="D22" s="347" t="str">
        <f>IFERROR(12/'Rebate Information (Chillers-A)'!D19*'Rebate Information (Chillers-A)'!C19*'Rebate Information (Chillers-A)'!E19,"")</f>
        <v/>
      </c>
      <c r="E22" s="348" t="str">
        <f>IFERROR(12/B22*'Rebate Information (Chillers-A)'!C19*'Air Cooled Chillers Savings'!F22*C22,"")</f>
        <v/>
      </c>
      <c r="F22" s="360">
        <f>IFERROR('Rebate Information (Chillers-A)'!O19,"")</f>
        <v>0</v>
      </c>
      <c r="G22" s="352" t="str">
        <f>CONCATENATE('Rebate Information (Chillers-A)'!H19," ",'Rebate Information (Chillers-A)'!G19)</f>
        <v xml:space="preserve"> </v>
      </c>
      <c r="H22" s="353" t="str">
        <f>IF(ISNUMBER('Rebate Information (Chillers-A)'!K19),'Rebate Information (Chillers-A)'!K19,"")</f>
        <v/>
      </c>
      <c r="I22" s="353">
        <f>'Rebate Information (Chillers-A)'!M19</f>
        <v>0</v>
      </c>
      <c r="J22" s="354" t="str">
        <f>IF(ISNUMBER('Rebate Information (Chillers-A)'!N19),'Rebate Information (Chillers-A)'!N19,"")</f>
        <v/>
      </c>
      <c r="K22" s="355" t="str">
        <f>IFERROR(12/'Rebate Information (Chillers-A)'!K19*'Rebate Information (Chillers-A)'!I19*'Rebate Information (Chillers-A)'!N19,"")</f>
        <v/>
      </c>
      <c r="L22" s="356" t="str">
        <f>IFERROR(12/I22*'Rebate Information (Chillers-A)'!I19*F22*'Air Cooled Chillers Savings'!J22,"")</f>
        <v/>
      </c>
      <c r="M22" s="361" t="str">
        <f t="shared" si="0"/>
        <v/>
      </c>
      <c r="N22" s="362" t="str">
        <f t="shared" si="1"/>
        <v/>
      </c>
      <c r="O22" s="363" t="str">
        <f t="shared" si="2"/>
        <v/>
      </c>
    </row>
    <row r="23" spans="1:15" ht="8.1999999999999993" customHeight="1" thickBot="1" x14ac:dyDescent="0.25"/>
    <row r="24" spans="1:15" ht="20.95" customHeight="1" thickBot="1" x14ac:dyDescent="0.25">
      <c r="A24" s="285" t="s">
        <v>123</v>
      </c>
      <c r="B24" s="286"/>
      <c r="C24" s="287" t="s">
        <v>129</v>
      </c>
      <c r="D24" s="288" t="s">
        <v>82</v>
      </c>
      <c r="F24" s="296" t="s">
        <v>13</v>
      </c>
      <c r="G24" s="297"/>
      <c r="H24" s="297"/>
      <c r="I24" s="298" t="s">
        <v>129</v>
      </c>
      <c r="J24" s="299" t="s">
        <v>82</v>
      </c>
    </row>
    <row r="25" spans="1:15" ht="20.95" customHeight="1" x14ac:dyDescent="0.2">
      <c r="A25" s="289"/>
      <c r="B25" s="290" t="s">
        <v>176</v>
      </c>
      <c r="C25" s="186">
        <f>SUM(D13:D22)</f>
        <v>0</v>
      </c>
      <c r="D25" s="291">
        <f>SUM(E13:E22)</f>
        <v>0</v>
      </c>
      <c r="F25" s="300"/>
      <c r="G25" s="301"/>
      <c r="H25" s="302" t="s">
        <v>176</v>
      </c>
      <c r="I25" s="187">
        <f>SUM(K13:K22)</f>
        <v>0</v>
      </c>
      <c r="J25" s="303">
        <f>SUM(L13:L22)</f>
        <v>0</v>
      </c>
    </row>
    <row r="26" spans="1:15" ht="20.95" customHeight="1" thickBot="1" x14ac:dyDescent="0.25">
      <c r="A26" s="292"/>
      <c r="B26" s="293" t="s">
        <v>177</v>
      </c>
      <c r="C26" s="294"/>
      <c r="D26" s="295">
        <f>D25*$L$3</f>
        <v>0</v>
      </c>
      <c r="E26" s="284"/>
      <c r="F26" s="304"/>
      <c r="G26" s="188"/>
      <c r="H26" s="305" t="s">
        <v>178</v>
      </c>
      <c r="I26" s="306"/>
      <c r="J26" s="307">
        <f>J25*$L$3</f>
        <v>0</v>
      </c>
    </row>
    <row r="27" spans="1:15" ht="13.1" thickBot="1" x14ac:dyDescent="0.25">
      <c r="E27" s="88"/>
    </row>
    <row r="28" spans="1:15" ht="20.95" customHeight="1" thickBot="1" x14ac:dyDescent="0.25">
      <c r="E28" s="88"/>
      <c r="F28" s="308" t="s">
        <v>80</v>
      </c>
      <c r="G28" s="309"/>
      <c r="H28" s="309"/>
      <c r="I28" s="310" t="s">
        <v>129</v>
      </c>
      <c r="J28" s="311" t="s">
        <v>82</v>
      </c>
    </row>
    <row r="29" spans="1:15" ht="20.95" customHeight="1" x14ac:dyDescent="0.2">
      <c r="F29" s="312"/>
      <c r="G29" s="313"/>
      <c r="H29" s="314" t="s">
        <v>179</v>
      </c>
      <c r="I29" s="199">
        <f>(C25-I25)*0.9</f>
        <v>0</v>
      </c>
      <c r="J29" s="357">
        <f>D25-J25</f>
        <v>0</v>
      </c>
    </row>
    <row r="30" spans="1:15" ht="20.95" customHeight="1" thickBot="1" x14ac:dyDescent="0.25">
      <c r="F30" s="316"/>
      <c r="G30" s="190"/>
      <c r="H30" s="317" t="s">
        <v>180</v>
      </c>
      <c r="I30" s="189"/>
      <c r="J30" s="318">
        <f>D26-J26</f>
        <v>0</v>
      </c>
    </row>
    <row r="31" spans="1:15" ht="23.25" customHeight="1" x14ac:dyDescent="0.2"/>
  </sheetData>
  <sheetProtection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Instructions</vt:lpstr>
      <vt:lpstr>Customer Information</vt:lpstr>
      <vt:lpstr>Rebate Information (Rooftops)</vt:lpstr>
      <vt:lpstr>Rebate Information (Chillers-W)</vt:lpstr>
      <vt:lpstr>Rebate Information (Chillers-A)</vt:lpstr>
      <vt:lpstr>Rooftop Savings</vt:lpstr>
      <vt:lpstr>Rebate Information (Chillers)1</vt:lpstr>
      <vt:lpstr>Water Cooled Chillers Savings</vt:lpstr>
      <vt:lpstr>Air Cooled Chillers Savings</vt:lpstr>
      <vt:lpstr>Financial Summary</vt:lpstr>
      <vt:lpstr>Terms and Conditions</vt:lpstr>
      <vt:lpstr>Terms and Conditions -hide</vt:lpstr>
      <vt:lpstr>List_Codes_hide</vt:lpstr>
      <vt:lpstr>Revision Log</vt:lpstr>
      <vt:lpstr>AirChillerTotal</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kw_ton</vt:lpstr>
      <vt:lpstr>'Customer Information'!Print_Area</vt:lpstr>
      <vt:lpstr>'Financial Summary'!Print_Area</vt:lpstr>
      <vt:lpstr>Instructions!Print_Area</vt:lpstr>
      <vt:lpstr>'Rebate Information (Chillers-A)'!Print_Area</vt:lpstr>
      <vt:lpstr>'Rebate Information (Chillers-W)'!Print_Area</vt:lpstr>
      <vt:lpstr>'Rebate Information (Rooftops)'!Print_Area</vt:lpstr>
      <vt:lpstr>'Rooftop Savings'!Print_Area</vt:lpstr>
      <vt:lpstr>'Terms and Conditions'!Print_Area</vt:lpstr>
      <vt:lpstr>'Terms and Conditions -hide'!Print_Area</vt:lpstr>
      <vt:lpstr>Quantity</vt:lpstr>
      <vt:lpstr>RooftopTotal</vt:lpstr>
      <vt:lpstr>SEER_EER</vt:lpstr>
      <vt:lpstr>Tons</vt:lpstr>
      <vt:lpstr>Tons_2</vt:lpstr>
      <vt:lpstr>Unit_Code_ChillersA</vt:lpstr>
      <vt:lpstr>Unit_Code_ChillersW</vt:lpstr>
      <vt:lpstr>Unit_Code_RTU</vt:lpstr>
      <vt:lpstr>WaterChillerTotal</vt:lpstr>
    </vt:vector>
  </TitlesOfParts>
  <Company>RPU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Anna Basimamovic</cp:lastModifiedBy>
  <cp:lastPrinted>2021-01-08T15:19:36Z</cp:lastPrinted>
  <dcterms:created xsi:type="dcterms:W3CDTF">2007-02-23T16:27:57Z</dcterms:created>
  <dcterms:modified xsi:type="dcterms:W3CDTF">2021-09-07T21:33:17Z</dcterms:modified>
</cp:coreProperties>
</file>