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75" windowWidth="19065" windowHeight="11115" tabRatio="850" activeTab="1"/>
  </bookViews>
  <sheets>
    <sheet name="Instructions" sheetId="1" r:id="rId1"/>
    <sheet name="Customer Information" sheetId="2" r:id="rId2"/>
    <sheet name="Rebate Information (Rooftops)" sheetId="3" r:id="rId3"/>
    <sheet name="Rebate Information (Chillers-W)" sheetId="4" r:id="rId4"/>
    <sheet name="Rebate Information (Chillers)1" sheetId="5" state="hidden" r:id="rId5"/>
    <sheet name="Rebate Information (Chillers-A)" sheetId="6" r:id="rId6"/>
    <sheet name="Rooftop Savings" sheetId="7" r:id="rId7"/>
    <sheet name="Water Cooled Chillers Savings" sheetId="8" r:id="rId8"/>
    <sheet name="Air Cooled Chillers Savings" sheetId="9" r:id="rId9"/>
    <sheet name="Financial Summary" sheetId="10" r:id="rId10"/>
    <sheet name="Terms and Conditions" sheetId="11" r:id="rId11"/>
    <sheet name="RTU_Algorithm" sheetId="12" state="hidden" r:id="rId12"/>
    <sheet name="PTAC_Algorithm" sheetId="13" state="hidden" r:id="rId13"/>
    <sheet name="Cent._Chill_Algorithm" sheetId="14" state="hidden" r:id="rId14"/>
    <sheet name="Air_Chill_Algorithm" sheetId="15" state="hidden" r:id="rId15"/>
    <sheet name="Savings" sheetId="16" state="hidden" r:id="rId16"/>
    <sheet name="Savings_2" sheetId="17" state="hidden" r:id="rId17"/>
    <sheet name="List_Codes_hide" sheetId="18" state="hidden" r:id="rId18"/>
    <sheet name="Revision Log" sheetId="19" state="hidden" r:id="rId19"/>
  </sheets>
  <externalReferences>
    <externalReference r:id="rId22"/>
  </externalReferences>
  <definedNames>
    <definedName name="_Key1" localSheetId="8" hidden="1">#REF!</definedName>
    <definedName name="_Key1" localSheetId="14" hidden="1">#REF!</definedName>
    <definedName name="_Key1" localSheetId="13" hidden="1">#REF!</definedName>
    <definedName name="_Key1" localSheetId="12" hidden="1">#REF!</definedName>
    <definedName name="_Key1" localSheetId="5" hidden="1">#REF!</definedName>
    <definedName name="_Key1" localSheetId="3" hidden="1">#REF!</definedName>
    <definedName name="_Key1" hidden="1">#REF!</definedName>
    <definedName name="_Order1" hidden="1">255</definedName>
    <definedName name="_Sort" localSheetId="8" hidden="1">#REF!</definedName>
    <definedName name="_Sort" localSheetId="14" hidden="1">#REF!</definedName>
    <definedName name="_Sort" localSheetId="13" hidden="1">#REF!</definedName>
    <definedName name="_Sort" localSheetId="12" hidden="1">#REF!</definedName>
    <definedName name="_Sort" localSheetId="5" hidden="1">#REF!</definedName>
    <definedName name="_Sort" localSheetId="3" hidden="1">#REF!</definedName>
    <definedName name="_Sort" hidden="1">#REF!</definedName>
    <definedName name="_xlfn.IFERROR" hidden="1">#NAME?</definedName>
    <definedName name="AirChillerTotal">'Rebate Information (Chillers-A)'!$W$19</definedName>
    <definedName name="Bonus_Incentive">'List_Codes_hide'!$L$4:$L$5</definedName>
    <definedName name="Code">'[1]Results'!$B$2:$B$500</definedName>
    <definedName name="ContractorAddress" localSheetId="1">'Customer Information'!$B$53</definedName>
    <definedName name="ContractorAddress">'[1]Customer Information'!$B$53</definedName>
    <definedName name="ContractorCity" localSheetId="1">'Customer Information'!$G$53</definedName>
    <definedName name="ContractorCity">'[1]Customer Information'!$G$53</definedName>
    <definedName name="ContractorContact" localSheetId="1">'Customer Information'!$B$56</definedName>
    <definedName name="ContractorContact">'[1]Customer Information'!$B$56</definedName>
    <definedName name="ContractorEmail" localSheetId="1">'Customer Information'!$B$59</definedName>
    <definedName name="ContractorEmail">'[1]Customer Information'!$B$59</definedName>
    <definedName name="ContractorName" localSheetId="1">'Customer Information'!$B$50</definedName>
    <definedName name="ContractorName">'[1]Customer Information'!$B$50</definedName>
    <definedName name="ContractorPhone" localSheetId="1">'Customer Information'!$I$56</definedName>
    <definedName name="ContractorPhone">'[1]Customer Information'!$I$56</definedName>
    <definedName name="ContractorState" localSheetId="1">'Customer Information'!$J$53</definedName>
    <definedName name="ContractorState">'[1]Customer Information'!$J$53</definedName>
    <definedName name="ContractorZip" localSheetId="1">'Customer Information'!$K$53</definedName>
    <definedName name="ContractorZip">'[1]Customer Information'!$K$53</definedName>
    <definedName name="CustomerInstallAddress" localSheetId="1">'Customer Information'!$B$13</definedName>
    <definedName name="CustomerInstallAddress">'[1]Customer Information'!$B$13</definedName>
    <definedName name="CustomerName" localSheetId="1">'Customer Information'!$B$10</definedName>
    <definedName name="CustomerName">'[1]Customer Information'!$B$10</definedName>
    <definedName name="Demand">'[1]Lighting Equipment Savings'!$C$3</definedName>
    <definedName name="Description">'[1]Results'!$C$2:$C$500</definedName>
    <definedName name="Efficiencies">'List_Codes_hide'!$I$4:$I$7</definedName>
    <definedName name="Efficiencies_2">'List_Codes_hide'!$I$11:$I$13</definedName>
    <definedName name="Energy">'[1]Lighting Equipment Savings'!$D$3</definedName>
    <definedName name="Hours">'List_Codes_hide'!$J$4:$J$8</definedName>
    <definedName name="Incentive_Bonus">'List_Codes_hide'!$L$4:$L$5</definedName>
    <definedName name="Incentive_Bonus_2">'List_Codes_hide'!$L$11</definedName>
    <definedName name="Incentive_ton">'List_Codes_hide'!$K$4:$K$5</definedName>
    <definedName name="Incentive_Ton_2">'List_Codes_hide'!$K$11</definedName>
    <definedName name="Included">'[1]Occup. Sensors-Photocells Entry'!$G$6</definedName>
    <definedName name="kw_ton">'List_Codes_hide'!$F$4:$F$26</definedName>
    <definedName name="LightingEquipmentEntryLabor">'[1]Lighting Equipment Entry'!$L$25</definedName>
    <definedName name="LightingEquipSubTotal">'[1]Lighting Equipment Entry'!$K$23</definedName>
    <definedName name="LightingLabor">'[1]Lighting Equipment Entry'!$L$25</definedName>
    <definedName name="Manufacturers">'List_Codes_hide'!$G$4:$G$90</definedName>
    <definedName name="NewLightingEnergyCost">'[1]Lighting Equipment Savings'!$L$25</definedName>
    <definedName name="NewLightingKW">'[1]Lighting Equipment Savings'!$L$24</definedName>
    <definedName name="NewLightingKWH">'[1]Lighting Equipment Savings'!$M$24</definedName>
    <definedName name="NewSensorEnergyCost">'[1]Occup. Snsrs-Photocells Savings'!$N$22</definedName>
    <definedName name="NewSensorKWH">'[1]Occup. Snsrs-Photocells Savings'!$M$22</definedName>
    <definedName name="OldLightingEnergyCost">'[1]Lighting Equipment Savings'!$E$25</definedName>
    <definedName name="OldLightingKW">'[1]Lighting Equipment Savings'!$E$24</definedName>
    <definedName name="OldLightingKWH">'[1]Lighting Equipment Savings'!$F$24</definedName>
    <definedName name="OldSensorEnergyCost">'[1]Occup. Snsrs-Photocells Savings'!$L$22</definedName>
    <definedName name="OldSensorKW">'[1]Occup. Snsrs-Photocells Savings'!$J$22</definedName>
    <definedName name="OldSensorKWH">'[1]Occup. Snsrs-Photocells Savings'!$K$22</definedName>
    <definedName name="PC_Main" localSheetId="14">'Air_Chill_Algorithm'!PC_Main</definedName>
    <definedName name="PC_Main" localSheetId="13">'Cent._Chill_Algorithm'!PC_Main</definedName>
    <definedName name="PC_Main" localSheetId="12">'PTAC_Algorithm'!PC_Main</definedName>
    <definedName name="PC_Main">[0]!PC_Main</definedName>
    <definedName name="_xlnm.Print_Area" localSheetId="14">'Air_Chill_Algorithm'!$A$1:$L$59</definedName>
    <definedName name="_xlnm.Print_Area" localSheetId="13">'Cent._Chill_Algorithm'!$A$1:$K$59</definedName>
    <definedName name="_xlnm.Print_Area" localSheetId="1">'Customer Information'!$A$1:$L$70</definedName>
    <definedName name="_xlnm.Print_Area" localSheetId="9">'Financial Summary'!$A$1:$K$50</definedName>
    <definedName name="_xlnm.Print_Area" localSheetId="0">'Instructions'!$A$1:$N$73</definedName>
    <definedName name="_xlnm.Print_Area" localSheetId="12">'PTAC_Algorithm'!$A$1:$I$58</definedName>
    <definedName name="_xlnm.Print_Area" localSheetId="2">'Rebate Information (Rooftops)'!$A$1:$T$45</definedName>
    <definedName name="_xlnm.Print_Area" localSheetId="6">'Rooftop Savings'!$A$1:$M$27</definedName>
    <definedName name="_xlnm.Print_Area" localSheetId="11">'RTU_Algorithm'!$A$1:$K$69</definedName>
    <definedName name="_xlnm.Print_Area" localSheetId="10">'Terms and Conditions'!$A$1:$K$62</definedName>
    <definedName name="Qualifying">'List_Codes_hide'!$H$4:$H$7</definedName>
    <definedName name="Quantity">'List_Codes_hide'!$E$4:$E$23</definedName>
    <definedName name="QuestionTable">'[1]Rebate Questions'!$A$2:$F$138</definedName>
    <definedName name="Rebate">'[1]Results'!$E$2:$E$500</definedName>
    <definedName name="ResultTable">'[1]Results'!$A$2:$E$500</definedName>
    <definedName name="RooftopTotal">'Rebate Information (Rooftops)'!$T$17</definedName>
    <definedName name="SEER_EER">'List_Codes_hide'!$D$4:$D$85</definedName>
    <definedName name="SensorKWHSavings">'[1]Occup. Snsrs-Photocells Savings'!$O$22</definedName>
    <definedName name="SensorSubTotal">'[1]Occup. Sensors-Photocells Entry'!$J$23</definedName>
    <definedName name="Tons">'List_Codes_hide'!$B$4:$B$152</definedName>
    <definedName name="Tons_2">'List_Codes_hide'!$C$4:$C$12</definedName>
    <definedName name="TotalRebate">'[1]Occup. Sensors-Photocells Entry'!$K$24</definedName>
    <definedName name="Unit_Code_Chillers" localSheetId="5">'Rebate Information (Chillers-A)'!$A$23:$A$23</definedName>
    <definedName name="Unit_Code_Chillers" localSheetId="3">'Rebate Information (Chillers-W)'!$A$24:$A$29</definedName>
    <definedName name="Unit_Code_Chillers">'Rebate Information (Chillers)1'!$A$24:$A$29</definedName>
    <definedName name="Unit_Code_RTU">'Rebate Information (Rooftops)'!$A$21:$A$28</definedName>
    <definedName name="WaterChillerTotal">'Rebate Information (Chillers-W)'!$W$19</definedName>
    <definedName name="Watts">'[1]Results'!$D$2:$D$500</definedName>
  </definedNames>
  <calcPr fullCalcOnLoad="1"/>
</workbook>
</file>

<file path=xl/comments16.xml><?xml version="1.0" encoding="utf-8"?>
<comments xmlns="http://schemas.openxmlformats.org/spreadsheetml/2006/main">
  <authors>
    <author>Tom Eckman</author>
  </authors>
  <commentList>
    <comment ref="AS4" authorId="0">
      <text>
        <r>
          <rPr>
            <b/>
            <sz val="8"/>
            <rFont val="Tahoma"/>
            <family val="2"/>
          </rPr>
          <t>Tom Eckman:</t>
        </r>
        <r>
          <rPr>
            <sz val="8"/>
            <rFont val="Tahoma"/>
            <family val="2"/>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AT4" authorId="0">
      <text>
        <r>
          <rPr>
            <b/>
            <sz val="8"/>
            <rFont val="Tahoma"/>
            <family val="2"/>
          </rPr>
          <t>Tom Eckman:</t>
        </r>
        <r>
          <rPr>
            <sz val="8"/>
            <rFont val="Tahoma"/>
            <family val="2"/>
          </rPr>
          <t xml:space="preserve">
Reduction in local distribution system peak load resulting from installation of technology, measure or practice</t>
        </r>
      </text>
    </comment>
    <comment ref="AU4" authorId="0">
      <text>
        <r>
          <rPr>
            <b/>
            <sz val="8"/>
            <rFont val="Tahoma"/>
            <family val="2"/>
          </rPr>
          <t>Tom Eckman:</t>
        </r>
        <r>
          <rPr>
            <sz val="8"/>
            <rFont val="Tahoma"/>
            <family val="2"/>
          </rPr>
          <t xml:space="preserve">
Present value cost of deferred capital expenditures for local distribution system</t>
        </r>
      </text>
    </comment>
    <comment ref="AX4" authorId="0">
      <text>
        <r>
          <rPr>
            <b/>
            <sz val="8"/>
            <rFont val="Tahoma"/>
            <family val="2"/>
          </rPr>
          <t>Tom Eckman:</t>
        </r>
        <r>
          <rPr>
            <sz val="8"/>
            <rFont val="Tahoma"/>
            <family val="2"/>
          </rPr>
          <t xml:space="preserve">
Qualitative or quantitative estimate of end-user benefits, excluding electricity savings, e.g. gallons of water saved.</t>
        </r>
      </text>
    </comment>
    <comment ref="AY4" authorId="0">
      <text>
        <r>
          <rPr>
            <b/>
            <sz val="8"/>
            <rFont val="Tahoma"/>
            <family val="2"/>
          </rPr>
          <t>Tom Eckman:</t>
        </r>
        <r>
          <rPr>
            <sz val="8"/>
            <rFont val="Tahoma"/>
            <family val="2"/>
          </rPr>
          <t xml:space="preserve">
Qualitative or quantitative estimate of any non-electric power system benefits associated with the technology, measure or practice, e.g. reduced wastewater treatment costs.</t>
        </r>
      </text>
    </comment>
    <comment ref="AZ4" authorId="0">
      <text>
        <r>
          <rPr>
            <b/>
            <sz val="8"/>
            <rFont val="Tahoma"/>
            <family val="2"/>
          </rPr>
          <t>Tom Eckman:</t>
        </r>
        <r>
          <rPr>
            <sz val="8"/>
            <rFont val="Tahoma"/>
            <family val="2"/>
          </rPr>
          <t xml:space="preserve">
Present value of any monetized non-electric power system benefits, e.g. reduced detergent costs.</t>
        </r>
      </text>
    </comment>
    <comment ref="BA4" authorId="0">
      <text>
        <r>
          <rPr>
            <b/>
            <sz val="8"/>
            <rFont val="Tahoma"/>
            <family val="2"/>
          </rPr>
          <t>Tom Eckman:</t>
        </r>
        <r>
          <rPr>
            <sz val="8"/>
            <rFont val="Tahoma"/>
            <family val="2"/>
          </rPr>
          <t xml:space="preserve">
Present value of cost of carbon emissions, based on $15/ton.</t>
        </r>
      </text>
    </comment>
    <comment ref="BB4" authorId="0">
      <text>
        <r>
          <rPr>
            <b/>
            <sz val="8"/>
            <rFont val="Tahoma"/>
            <family val="2"/>
          </rPr>
          <t>Tom Eckman:</t>
        </r>
        <r>
          <rPr>
            <sz val="8"/>
            <rFont val="Tahoma"/>
            <family val="2"/>
          </rPr>
          <t xml:space="preserve">
Total present value of all cost associated with the installation and maintenance of the technology, measure or practice over its expected life.</t>
        </r>
      </text>
    </comment>
    <comment ref="BD4" authorId="0">
      <text>
        <r>
          <rPr>
            <b/>
            <sz val="8"/>
            <rFont val="Tahoma"/>
            <family val="2"/>
          </rPr>
          <t>Tom Eckman:</t>
        </r>
        <r>
          <rPr>
            <sz val="8"/>
            <rFont val="Tahoma"/>
            <family val="2"/>
          </rPr>
          <t xml:space="preserve">
Present value of all benefits associated with a technology, measure or practice, including non-power system benefits and environmental externalities benefits.</t>
        </r>
      </text>
    </comment>
    <comment ref="BE4" authorId="0">
      <text>
        <r>
          <rPr>
            <b/>
            <sz val="8"/>
            <rFont val="Tahoma"/>
            <family val="2"/>
          </rPr>
          <t>Tom Eckman:</t>
        </r>
        <r>
          <rPr>
            <sz val="8"/>
            <rFont val="Tahoma"/>
            <family val="2"/>
          </rPr>
          <t xml:space="preserve">
Ratio of present value of total societal benefits to total societal costs of technology, measure or practice.</t>
        </r>
      </text>
    </comment>
    <comment ref="BF4" authorId="0">
      <text>
        <r>
          <rPr>
            <b/>
            <sz val="8"/>
            <rFont val="Tahoma"/>
            <family val="2"/>
          </rPr>
          <t>Tom Eckman:</t>
        </r>
        <r>
          <rPr>
            <sz val="8"/>
            <rFont val="Tahoma"/>
            <family val="2"/>
          </rPr>
          <t xml:space="preserve">
Description of program and or activities that are associated with the technology, measure or practice, such as tax credits, Northwest Energy Efficiency Alliance market transformation programs.</t>
        </r>
      </text>
    </comment>
    <comment ref="BG4" authorId="0">
      <text>
        <r>
          <rPr>
            <b/>
            <sz val="8"/>
            <rFont val="Tahoma"/>
            <family val="2"/>
          </rPr>
          <t>Tom Eckman:</t>
        </r>
        <r>
          <rPr>
            <sz val="8"/>
            <rFont val="Tahoma"/>
            <family val="2"/>
          </rPr>
          <t xml:space="preserve">
Special notes regarding factors that might impact a particular technology, measure or practices cost, savings or use. For example, potential changes in federal standards or local codes or anticipated improvements in technology.</t>
        </r>
      </text>
    </comment>
  </commentList>
</comments>
</file>

<file path=xl/comments17.xml><?xml version="1.0" encoding="utf-8"?>
<comments xmlns="http://schemas.openxmlformats.org/spreadsheetml/2006/main">
  <authors>
    <author>Sandra Henry</author>
  </authors>
  <commentList>
    <comment ref="K7" authorId="0">
      <text>
        <r>
          <rPr>
            <b/>
            <sz val="8"/>
            <rFont val="Tahoma"/>
            <family val="2"/>
          </rPr>
          <t>Sandra Henry:</t>
        </r>
        <r>
          <rPr>
            <sz val="8"/>
            <rFont val="Tahoma"/>
            <family val="2"/>
          </rPr>
          <t xml:space="preserve">
Based on average of $110/ton incremetnal costs</t>
        </r>
      </text>
    </comment>
  </commentList>
</comments>
</file>

<file path=xl/comments2.xml><?xml version="1.0" encoding="utf-8"?>
<comments xmlns="http://schemas.openxmlformats.org/spreadsheetml/2006/main">
  <authors>
    <author>Kelly Lady</author>
    <author>Roger Warehime</author>
  </authors>
  <commentList>
    <comment ref="B9" authorId="0">
      <text>
        <r>
          <rPr>
            <b/>
            <sz val="8"/>
            <rFont val="Tahoma"/>
            <family val="2"/>
          </rPr>
          <t>Kelly Lady:</t>
        </r>
        <r>
          <rPr>
            <sz val="8"/>
            <rFont val="Tahoma"/>
            <family val="2"/>
          </rPr>
          <t xml:space="preserve">
This sheet asks for general information about the customer and contractor.  Fields that accept data are shaded yellow.  The tab key can be used to move forward from one field to the next.  Holding the shift key will pressing the tab key will move backward from one field to the previous field.
The customer’s business name and installation address are pulled from this sheet and displayed on the Financial Summary sheet.  The contractor name, address, and contact information are also pulled from this sheet and displayed on the Financial Summary sheet.
Check-boxes can be selected or deselected using the mouse.</t>
        </r>
      </text>
    </comment>
    <comment ref="B10" authorId="1">
      <text>
        <r>
          <rPr>
            <b/>
            <sz val="8"/>
            <rFont val="Tahoma"/>
            <family val="2"/>
          </rPr>
          <t>Use TAB key to move from field to field</t>
        </r>
        <r>
          <rPr>
            <sz val="8"/>
            <rFont val="Tahoma"/>
            <family val="2"/>
          </rPr>
          <t xml:space="preserve">
</t>
        </r>
      </text>
    </comment>
  </commentList>
</comments>
</file>

<file path=xl/comments4.xml><?xml version="1.0" encoding="utf-8"?>
<comments xmlns="http://schemas.openxmlformats.org/spreadsheetml/2006/main">
  <authors>
    <author>cblanke</author>
  </authors>
  <commentList>
    <comment ref="A9" authorId="0">
      <text>
        <r>
          <rPr>
            <b/>
            <sz val="8"/>
            <rFont val="Tahoma"/>
            <family val="2"/>
          </rPr>
          <t>Select unit code from drop down in column E</t>
        </r>
        <r>
          <rPr>
            <sz val="8"/>
            <rFont val="Tahoma"/>
            <family val="2"/>
          </rPr>
          <t xml:space="preserve">
</t>
        </r>
      </text>
    </comment>
    <comment ref="A10" authorId="0">
      <text>
        <r>
          <rPr>
            <b/>
            <sz val="8"/>
            <rFont val="Tahoma"/>
            <family val="2"/>
          </rPr>
          <t>Select unit code from drop down in column E</t>
        </r>
        <r>
          <rPr>
            <sz val="8"/>
            <rFont val="Tahoma"/>
            <family val="2"/>
          </rPr>
          <t xml:space="preserve">
</t>
        </r>
      </text>
    </comment>
    <comment ref="A11" authorId="0">
      <text>
        <r>
          <rPr>
            <b/>
            <sz val="8"/>
            <rFont val="Tahoma"/>
            <family val="2"/>
          </rPr>
          <t>Select unit code from drop down in column E</t>
        </r>
        <r>
          <rPr>
            <sz val="8"/>
            <rFont val="Tahoma"/>
            <family val="2"/>
          </rPr>
          <t xml:space="preserve">
</t>
        </r>
      </text>
    </comment>
    <comment ref="A12" authorId="0">
      <text>
        <r>
          <rPr>
            <b/>
            <sz val="8"/>
            <rFont val="Tahoma"/>
            <family val="2"/>
          </rPr>
          <t>Select unit code from drop down in column E</t>
        </r>
        <r>
          <rPr>
            <sz val="8"/>
            <rFont val="Tahoma"/>
            <family val="2"/>
          </rPr>
          <t xml:space="preserve">
</t>
        </r>
      </text>
    </comment>
    <comment ref="A13" authorId="0">
      <text>
        <r>
          <rPr>
            <b/>
            <sz val="8"/>
            <rFont val="Tahoma"/>
            <family val="2"/>
          </rPr>
          <t>Select unit code from drop down in column E</t>
        </r>
        <r>
          <rPr>
            <sz val="8"/>
            <rFont val="Tahoma"/>
            <family val="2"/>
          </rPr>
          <t xml:space="preserve">
</t>
        </r>
      </text>
    </comment>
    <comment ref="A14" authorId="0">
      <text>
        <r>
          <rPr>
            <b/>
            <sz val="8"/>
            <rFont val="Tahoma"/>
            <family val="2"/>
          </rPr>
          <t>Select unit code from drop down in column E</t>
        </r>
        <r>
          <rPr>
            <sz val="8"/>
            <rFont val="Tahoma"/>
            <family val="2"/>
          </rPr>
          <t xml:space="preserve">
</t>
        </r>
      </text>
    </comment>
    <comment ref="A15" authorId="0">
      <text>
        <r>
          <rPr>
            <b/>
            <sz val="8"/>
            <rFont val="Tahoma"/>
            <family val="2"/>
          </rPr>
          <t>Select unit code from drop down in column E</t>
        </r>
        <r>
          <rPr>
            <sz val="8"/>
            <rFont val="Tahoma"/>
            <family val="2"/>
          </rPr>
          <t xml:space="preserve">
</t>
        </r>
      </text>
    </comment>
    <comment ref="A16" authorId="0">
      <text>
        <r>
          <rPr>
            <b/>
            <sz val="8"/>
            <rFont val="Tahoma"/>
            <family val="2"/>
          </rPr>
          <t>Select unit code from drop down in column E</t>
        </r>
        <r>
          <rPr>
            <sz val="8"/>
            <rFont val="Tahoma"/>
            <family val="2"/>
          </rPr>
          <t xml:space="preserve">
</t>
        </r>
      </text>
    </comment>
    <comment ref="A17" authorId="0">
      <text>
        <r>
          <rPr>
            <b/>
            <sz val="8"/>
            <rFont val="Tahoma"/>
            <family val="2"/>
          </rPr>
          <t>Select unit code from drop down in column E</t>
        </r>
        <r>
          <rPr>
            <sz val="8"/>
            <rFont val="Tahoma"/>
            <family val="2"/>
          </rPr>
          <t xml:space="preserve">
</t>
        </r>
      </text>
    </comment>
    <comment ref="A18" authorId="0">
      <text>
        <r>
          <rPr>
            <b/>
            <sz val="8"/>
            <rFont val="Tahoma"/>
            <family val="2"/>
          </rPr>
          <t>Select unit code from drop down in column E</t>
        </r>
        <r>
          <rPr>
            <sz val="8"/>
            <rFont val="Tahoma"/>
            <family val="2"/>
          </rPr>
          <t xml:space="preserve">
</t>
        </r>
      </text>
    </comment>
  </commentList>
</comments>
</file>

<file path=xl/comments6.xml><?xml version="1.0" encoding="utf-8"?>
<comments xmlns="http://schemas.openxmlformats.org/spreadsheetml/2006/main">
  <authors>
    <author>cblanke</author>
  </authors>
  <commentList>
    <comment ref="A9" authorId="0">
      <text>
        <r>
          <rPr>
            <b/>
            <sz val="8"/>
            <rFont val="Tahoma"/>
            <family val="2"/>
          </rPr>
          <t>Select unit code from drop down in column E</t>
        </r>
        <r>
          <rPr>
            <sz val="8"/>
            <rFont val="Tahoma"/>
            <family val="2"/>
          </rPr>
          <t xml:space="preserve">
</t>
        </r>
      </text>
    </comment>
    <comment ref="A10" authorId="0">
      <text>
        <r>
          <rPr>
            <b/>
            <sz val="8"/>
            <rFont val="Tahoma"/>
            <family val="2"/>
          </rPr>
          <t>Select unit code from drop down in column E</t>
        </r>
        <r>
          <rPr>
            <sz val="8"/>
            <rFont val="Tahoma"/>
            <family val="2"/>
          </rPr>
          <t xml:space="preserve">
</t>
        </r>
      </text>
    </comment>
    <comment ref="A11" authorId="0">
      <text>
        <r>
          <rPr>
            <b/>
            <sz val="8"/>
            <rFont val="Tahoma"/>
            <family val="2"/>
          </rPr>
          <t>Select unit code from drop down in column E</t>
        </r>
        <r>
          <rPr>
            <sz val="8"/>
            <rFont val="Tahoma"/>
            <family val="2"/>
          </rPr>
          <t xml:space="preserve">
</t>
        </r>
      </text>
    </comment>
    <comment ref="A12" authorId="0">
      <text>
        <r>
          <rPr>
            <b/>
            <sz val="8"/>
            <rFont val="Tahoma"/>
            <family val="2"/>
          </rPr>
          <t>Select unit code from drop down in column E</t>
        </r>
        <r>
          <rPr>
            <sz val="8"/>
            <rFont val="Tahoma"/>
            <family val="2"/>
          </rPr>
          <t xml:space="preserve">
</t>
        </r>
      </text>
    </comment>
    <comment ref="A13" authorId="0">
      <text>
        <r>
          <rPr>
            <b/>
            <sz val="8"/>
            <rFont val="Tahoma"/>
            <family val="2"/>
          </rPr>
          <t>Select unit code from drop down in column E</t>
        </r>
        <r>
          <rPr>
            <sz val="8"/>
            <rFont val="Tahoma"/>
            <family val="2"/>
          </rPr>
          <t xml:space="preserve">
</t>
        </r>
      </text>
    </comment>
    <comment ref="A14" authorId="0">
      <text>
        <r>
          <rPr>
            <b/>
            <sz val="8"/>
            <rFont val="Tahoma"/>
            <family val="2"/>
          </rPr>
          <t>Select unit code from drop down in column E</t>
        </r>
        <r>
          <rPr>
            <sz val="8"/>
            <rFont val="Tahoma"/>
            <family val="2"/>
          </rPr>
          <t xml:space="preserve">
</t>
        </r>
      </text>
    </comment>
    <comment ref="A15" authorId="0">
      <text>
        <r>
          <rPr>
            <b/>
            <sz val="8"/>
            <rFont val="Tahoma"/>
            <family val="2"/>
          </rPr>
          <t>Select unit code from drop down in column E</t>
        </r>
        <r>
          <rPr>
            <sz val="8"/>
            <rFont val="Tahoma"/>
            <family val="2"/>
          </rPr>
          <t xml:space="preserve">
</t>
        </r>
      </text>
    </comment>
    <comment ref="A16" authorId="0">
      <text>
        <r>
          <rPr>
            <b/>
            <sz val="8"/>
            <rFont val="Tahoma"/>
            <family val="2"/>
          </rPr>
          <t>Select unit code from drop down in column E</t>
        </r>
        <r>
          <rPr>
            <sz val="8"/>
            <rFont val="Tahoma"/>
            <family val="2"/>
          </rPr>
          <t xml:space="preserve">
</t>
        </r>
      </text>
    </comment>
    <comment ref="A17" authorId="0">
      <text>
        <r>
          <rPr>
            <b/>
            <sz val="8"/>
            <rFont val="Tahoma"/>
            <family val="2"/>
          </rPr>
          <t>Select unit code from drop down in column E</t>
        </r>
        <r>
          <rPr>
            <sz val="8"/>
            <rFont val="Tahoma"/>
            <family val="2"/>
          </rPr>
          <t xml:space="preserve">
</t>
        </r>
      </text>
    </comment>
    <comment ref="A18" authorId="0">
      <text>
        <r>
          <rPr>
            <b/>
            <sz val="8"/>
            <rFont val="Tahoma"/>
            <family val="2"/>
          </rPr>
          <t>Select unit code from drop down in column E</t>
        </r>
        <r>
          <rPr>
            <sz val="8"/>
            <rFont val="Tahoma"/>
            <family val="2"/>
          </rPr>
          <t xml:space="preserve">
</t>
        </r>
      </text>
    </comment>
  </commentList>
</comments>
</file>

<file path=xl/comments7.xml><?xml version="1.0" encoding="utf-8"?>
<comments xmlns="http://schemas.openxmlformats.org/spreadsheetml/2006/main">
  <authors>
    <author>Roger Warehime</author>
  </authors>
  <commentList>
    <comment ref="J3" authorId="0">
      <text>
        <r>
          <rPr>
            <b/>
            <sz val="8"/>
            <rFont val="Tahoma"/>
            <family val="2"/>
          </rPr>
          <t>Enter Demand Rate ($/kW) here.</t>
        </r>
      </text>
    </comment>
    <comment ref="K3" authorId="0">
      <text>
        <r>
          <rPr>
            <b/>
            <sz val="8"/>
            <rFont val="Tahoma"/>
            <family val="2"/>
          </rPr>
          <t>Enter Energy rate ($/kWh) here.</t>
        </r>
      </text>
    </comment>
  </commentList>
</comments>
</file>

<file path=xl/comments8.xml><?xml version="1.0" encoding="utf-8"?>
<comments xmlns="http://schemas.openxmlformats.org/spreadsheetml/2006/main">
  <authors>
    <author>Roger Warehime</author>
  </authors>
  <commentList>
    <comment ref="J3" authorId="0">
      <text>
        <r>
          <rPr>
            <b/>
            <sz val="8"/>
            <rFont val="Tahoma"/>
            <family val="2"/>
          </rPr>
          <t>Enter Demand Rate ($/kW) here.</t>
        </r>
      </text>
    </comment>
    <comment ref="K3" authorId="0">
      <text>
        <r>
          <rPr>
            <b/>
            <sz val="8"/>
            <rFont val="Tahoma"/>
            <family val="2"/>
          </rPr>
          <t>Enter Energy rate ($/kWh) here.</t>
        </r>
      </text>
    </comment>
  </commentList>
</comments>
</file>

<file path=xl/comments9.xml><?xml version="1.0" encoding="utf-8"?>
<comments xmlns="http://schemas.openxmlformats.org/spreadsheetml/2006/main">
  <authors>
    <author>Roger Warehime</author>
  </authors>
  <commentList>
    <comment ref="J3" authorId="0">
      <text>
        <r>
          <rPr>
            <b/>
            <sz val="8"/>
            <rFont val="Tahoma"/>
            <family val="2"/>
          </rPr>
          <t>Enter Demand Rate ($/kW) here.</t>
        </r>
      </text>
    </comment>
    <comment ref="K3" authorId="0">
      <text>
        <r>
          <rPr>
            <b/>
            <sz val="8"/>
            <rFont val="Tahoma"/>
            <family val="2"/>
          </rPr>
          <t>Enter Energy rate ($/kWh) here.</t>
        </r>
      </text>
    </comment>
  </commentList>
</comments>
</file>

<file path=xl/sharedStrings.xml><?xml version="1.0" encoding="utf-8"?>
<sst xmlns="http://schemas.openxmlformats.org/spreadsheetml/2006/main" count="1757" uniqueCount="742">
  <si>
    <t>Company Name</t>
  </si>
  <si>
    <t>Business Name</t>
  </si>
  <si>
    <t>Location Name or DBA (if different from Business Name)</t>
  </si>
  <si>
    <t>Installation Address</t>
  </si>
  <si>
    <t>City</t>
  </si>
  <si>
    <t>State</t>
  </si>
  <si>
    <t>Zip Code</t>
  </si>
  <si>
    <t>Mailing Address (if different from above)</t>
  </si>
  <si>
    <t xml:space="preserve">Account Number </t>
  </si>
  <si>
    <t>Contact Name</t>
  </si>
  <si>
    <t>Daytime Phone Number</t>
  </si>
  <si>
    <t>Email</t>
  </si>
  <si>
    <t>Customer's Signature</t>
  </si>
  <si>
    <t xml:space="preserve">Date </t>
  </si>
  <si>
    <t>Address</t>
  </si>
  <si>
    <t>4.  REBATE INFORMATION - ROOFTOP and PACKAGE UNITS (please print)</t>
  </si>
  <si>
    <t>NEW SYSTEM</t>
  </si>
  <si>
    <t xml:space="preserve">REBATE  </t>
  </si>
  <si>
    <t>A</t>
  </si>
  <si>
    <t>B</t>
  </si>
  <si>
    <t>C</t>
  </si>
  <si>
    <t>D</t>
  </si>
  <si>
    <t>E</t>
  </si>
  <si>
    <t>F</t>
  </si>
  <si>
    <t>G</t>
  </si>
  <si>
    <t>H</t>
  </si>
  <si>
    <t>I</t>
  </si>
  <si>
    <t>J</t>
  </si>
  <si>
    <t>K</t>
  </si>
  <si>
    <t>L</t>
  </si>
  <si>
    <t>M</t>
  </si>
  <si>
    <t>N</t>
  </si>
  <si>
    <t>O</t>
  </si>
  <si>
    <t>P</t>
  </si>
  <si>
    <t>Q</t>
  </si>
  <si>
    <t>R</t>
  </si>
  <si>
    <t>S</t>
  </si>
  <si>
    <t>Qty.</t>
  </si>
  <si>
    <t>Model Number</t>
  </si>
  <si>
    <t>Equipment Cost</t>
  </si>
  <si>
    <t>2.</t>
  </si>
  <si>
    <t>3.</t>
  </si>
  <si>
    <t>5.</t>
  </si>
  <si>
    <t>6.</t>
  </si>
  <si>
    <t>7.</t>
  </si>
  <si>
    <t>8.</t>
  </si>
  <si>
    <t>9.</t>
  </si>
  <si>
    <t>10.</t>
  </si>
  <si>
    <t>TOTAL</t>
  </si>
  <si>
    <t>TABLE 1 - QUALIFYING EFFICIENCIES AND REBATE SCHEDULE</t>
  </si>
  <si>
    <t>TABLE 2 - GUIDELINES FOR COOLING HOURS</t>
  </si>
  <si>
    <t>Unit Code</t>
  </si>
  <si>
    <t>Qualifying
Equipment</t>
  </si>
  <si>
    <t>Base Rebate $/Ton</t>
  </si>
  <si>
    <t>Business
Segment</t>
  </si>
  <si>
    <t>Estimated Hours
(Southern MN)</t>
  </si>
  <si>
    <t>UT-1</t>
  </si>
  <si>
    <t>UT-2</t>
  </si>
  <si>
    <t>65,000 - 134,999 Btu/hour</t>
  </si>
  <si>
    <t>UT-3</t>
  </si>
  <si>
    <t>UT-4</t>
  </si>
  <si>
    <t>PTAC</t>
  </si>
  <si>
    <t>A copy of the manufacturer's applicable unit rating must accompany this application.</t>
  </si>
  <si>
    <r>
      <t xml:space="preserve">Unit Size </t>
    </r>
    <r>
      <rPr>
        <i/>
        <sz val="8"/>
        <rFont val="Arial"/>
        <family val="2"/>
      </rPr>
      <t>(Tons)</t>
    </r>
  </si>
  <si>
    <t>TABLE 3 - QUALIFYING EFFICIENCIES AND REBATE SCHEDULE</t>
  </si>
  <si>
    <t>Qualifying Equipment           (Water or Air Cooled)</t>
  </si>
  <si>
    <t>C-1</t>
  </si>
  <si>
    <t>C-2</t>
  </si>
  <si>
    <t>C-3</t>
  </si>
  <si>
    <t>C-4</t>
  </si>
  <si>
    <t>C-5</t>
  </si>
  <si>
    <t>C-6</t>
  </si>
  <si>
    <r>
      <t>Note:</t>
    </r>
    <r>
      <rPr>
        <sz val="8"/>
        <rFont val="Arial"/>
        <family val="2"/>
      </rPr>
      <t xml:space="preserve">  Qualifying chillers must meet ARI 550 Standard.  </t>
    </r>
    <r>
      <rPr>
        <b/>
        <sz val="8"/>
        <rFont val="Arial"/>
        <family val="2"/>
      </rPr>
      <t>A copy of the manufacturer's applicable unit rating must accompany this application.</t>
    </r>
  </si>
  <si>
    <r>
      <t xml:space="preserve">Unit Code </t>
    </r>
    <r>
      <rPr>
        <i/>
        <sz val="8"/>
        <rFont val="Arial"/>
        <family val="2"/>
      </rPr>
      <t>(Table 3)</t>
    </r>
  </si>
  <si>
    <r>
      <t xml:space="preserve">Unit Size
</t>
    </r>
    <r>
      <rPr>
        <i/>
        <sz val="8"/>
        <rFont val="Arial"/>
        <family val="2"/>
      </rPr>
      <t>(Tons)</t>
    </r>
  </si>
  <si>
    <r>
      <t xml:space="preserve">Minimum Efficiency
</t>
    </r>
    <r>
      <rPr>
        <i/>
        <sz val="8"/>
        <rFont val="Arial"/>
        <family val="2"/>
      </rPr>
      <t>(Table 3)</t>
    </r>
  </si>
  <si>
    <r>
      <t xml:space="preserve">Actual kW/Ton </t>
    </r>
    <r>
      <rPr>
        <i/>
        <sz val="8"/>
        <rFont val="Arial"/>
        <family val="2"/>
      </rPr>
      <t>(see Note)</t>
    </r>
  </si>
  <si>
    <r>
      <t xml:space="preserve">Annual Hours of Operation
</t>
    </r>
    <r>
      <rPr>
        <i/>
        <sz val="8"/>
        <rFont val="Arial"/>
        <family val="2"/>
      </rPr>
      <t>(Table 4)</t>
    </r>
  </si>
  <si>
    <r>
      <t xml:space="preserve">Base Rebate $/Ton </t>
    </r>
    <r>
      <rPr>
        <i/>
        <sz val="8"/>
        <rFont val="Arial"/>
        <family val="2"/>
      </rPr>
      <t>(Table3)</t>
    </r>
  </si>
  <si>
    <r>
      <t>Base Rebate</t>
    </r>
    <r>
      <rPr>
        <sz val="8"/>
        <rFont val="Arial"/>
        <family val="2"/>
      </rPr>
      <t xml:space="preserve">       </t>
    </r>
    <r>
      <rPr>
        <i/>
        <sz val="8"/>
        <rFont val="Arial"/>
        <family val="2"/>
      </rPr>
      <t>(H x K x N)</t>
    </r>
  </si>
  <si>
    <r>
      <t xml:space="preserve">Eligible Efficiency Bonus
</t>
    </r>
    <r>
      <rPr>
        <i/>
        <sz val="8"/>
        <rFont val="Arial"/>
        <family val="2"/>
      </rPr>
      <t xml:space="preserve">(I - J) </t>
    </r>
  </si>
  <si>
    <r>
      <t xml:space="preserve">Total                 Rebate                </t>
    </r>
    <r>
      <rPr>
        <i/>
        <sz val="8"/>
        <rFont val="Arial"/>
        <family val="2"/>
      </rPr>
      <t xml:space="preserve"> (O + R)</t>
    </r>
  </si>
  <si>
    <t xml:space="preserve">1. </t>
  </si>
  <si>
    <t xml:space="preserve">4. </t>
  </si>
  <si>
    <t>135,000 - 239,999 Btu/hour</t>
  </si>
  <si>
    <t>* Efficiency Bonus Rebate provides an additional incentive for each .01 kW per Ton below the Minimum Efficiency.</t>
  </si>
  <si>
    <t>Water-Cooled Centrifugal Chiller - Less than 150 Tons</t>
  </si>
  <si>
    <t>Water-Cooled Centrifugal Chiller - 150 to 200 Tons</t>
  </si>
  <si>
    <t>Water-Cooled Centrifugal Chiller - 300 Tons and Greater</t>
  </si>
  <si>
    <t>C-7</t>
  </si>
  <si>
    <t>The motors and/or variable speed drives in chiller units are not independently eligible for additional rebates offered under the Commercial High Efficiency Motor and Variable Speed Drive Rebate programs.</t>
  </si>
  <si>
    <r>
      <t xml:space="preserve">Bonus Rebate
</t>
    </r>
    <r>
      <rPr>
        <i/>
        <sz val="8"/>
        <rFont val="Arial"/>
        <family val="2"/>
      </rPr>
      <t>(P x Q) x 
(H x K) x 100</t>
    </r>
  </si>
  <si>
    <t>5.  REBATE INFORMATION - CENTRAL CHILLERS (please print)</t>
  </si>
  <si>
    <t>Date</t>
  </si>
  <si>
    <t>Initials</t>
  </si>
  <si>
    <t>Description of Changes</t>
  </si>
  <si>
    <t>Retrofit</t>
  </si>
  <si>
    <t>New Construction</t>
  </si>
  <si>
    <t>Demand</t>
  </si>
  <si>
    <t>Energy</t>
  </si>
  <si>
    <t>Rate</t>
  </si>
  <si>
    <t>SAVINGS</t>
  </si>
  <si>
    <t>Annual Hours of Operation</t>
  </si>
  <si>
    <t>kWh</t>
  </si>
  <si>
    <t>$</t>
  </si>
  <si>
    <t>ENERGY SAVINGS SUMMARY:</t>
  </si>
  <si>
    <t>Current System</t>
  </si>
  <si>
    <t>Proposed System</t>
  </si>
  <si>
    <t>Savings</t>
  </si>
  <si>
    <t>Annual Energy Cost</t>
  </si>
  <si>
    <t>Annual  kW</t>
  </si>
  <si>
    <t>Annual kWh</t>
  </si>
  <si>
    <t>Year 1</t>
  </si>
  <si>
    <t>Year 2</t>
  </si>
  <si>
    <t>Year 3</t>
  </si>
  <si>
    <t>Year 4</t>
  </si>
  <si>
    <t>Year 5</t>
  </si>
  <si>
    <t>Utility Rebate</t>
  </si>
  <si>
    <t>Simple Payback (years)</t>
  </si>
  <si>
    <t>ENVIRONMENTAL IMPACT:</t>
  </si>
  <si>
    <t>The project is estimated to reduce the emission of</t>
  </si>
  <si>
    <t xml:space="preserve">pounds of CO2 annually. </t>
  </si>
  <si>
    <t>This is equivalent to:</t>
  </si>
  <si>
    <t>gallons of gasoline not burned</t>
  </si>
  <si>
    <t>passenger cars removed from the roads for one year</t>
  </si>
  <si>
    <t>acres of trees planted</t>
  </si>
  <si>
    <t>Prepared by:</t>
  </si>
  <si>
    <t>($/kW)</t>
  </si>
  <si>
    <t>($/kWh)</t>
  </si>
  <si>
    <t>* Current Energy Prices:</t>
  </si>
  <si>
    <t>Summary Printed:</t>
  </si>
  <si>
    <t>&lt;5.4 tons</t>
  </si>
  <si>
    <t>5.4 - 11.3 tons</t>
  </si>
  <si>
    <t>11.4 - 20.0 tons</t>
  </si>
  <si>
    <t>&gt; 20.1 tons</t>
  </si>
  <si>
    <t>&lt;8</t>
  </si>
  <si>
    <t>&gt; 16</t>
  </si>
  <si>
    <t>Aire-Flo</t>
  </si>
  <si>
    <t>Airwell-Fedders NA</t>
  </si>
  <si>
    <t>Amana Standard</t>
  </si>
  <si>
    <t>Arcoaire</t>
  </si>
  <si>
    <t>Armstrong AC</t>
  </si>
  <si>
    <t>Bard Manufacturing</t>
  </si>
  <si>
    <t>Broan</t>
  </si>
  <si>
    <t>Bryant</t>
  </si>
  <si>
    <t>Carrier</t>
  </si>
  <si>
    <t>Century</t>
  </si>
  <si>
    <t>Coaire</t>
  </si>
  <si>
    <t>Coleman Unitary Products</t>
  </si>
  <si>
    <t>Comfortmaker</t>
  </si>
  <si>
    <t>Concord</t>
  </si>
  <si>
    <t>Day &amp; Night</t>
  </si>
  <si>
    <t>Dayton</t>
  </si>
  <si>
    <t>Ducane</t>
  </si>
  <si>
    <t>Eair</t>
  </si>
  <si>
    <t>Ecotemp</t>
  </si>
  <si>
    <t>Elect-aire</t>
  </si>
  <si>
    <t>Enviromaster International</t>
  </si>
  <si>
    <t>Evcon Unitary</t>
  </si>
  <si>
    <t xml:space="preserve">Friedrich </t>
  </si>
  <si>
    <t>Frigidaire</t>
  </si>
  <si>
    <t>Fujitsu General America</t>
  </si>
  <si>
    <t>GD Midea Commercial</t>
  </si>
  <si>
    <t>Gibson</t>
  </si>
  <si>
    <t>Goodman Manufacturing</t>
  </si>
  <si>
    <t>Grandaire</t>
  </si>
  <si>
    <t>Guardian Unitary</t>
  </si>
  <si>
    <t>Haier America</t>
  </si>
  <si>
    <t>Heat Controller</t>
  </si>
  <si>
    <t>Heil</t>
  </si>
  <si>
    <t>ICP Commercial</t>
  </si>
  <si>
    <t>Intertherm</t>
  </si>
  <si>
    <t>Johnson Controls Unitary</t>
  </si>
  <si>
    <t>Kelvinator</t>
  </si>
  <si>
    <t>Kenmore</t>
  </si>
  <si>
    <t>Lennox Industries</t>
  </si>
  <si>
    <t>LG Electronics</t>
  </si>
  <si>
    <t>Luxaire Unitary</t>
  </si>
  <si>
    <t>Mammoth</t>
  </si>
  <si>
    <t>Maratherm</t>
  </si>
  <si>
    <t>Maytag</t>
  </si>
  <si>
    <t>McQuay International</t>
  </si>
  <si>
    <t>Medallion</t>
  </si>
  <si>
    <t>Miller</t>
  </si>
  <si>
    <t xml:space="preserve">National Comfort </t>
  </si>
  <si>
    <t>Nordyne</t>
  </si>
  <si>
    <t>Nutone</t>
  </si>
  <si>
    <t xml:space="preserve">Payne </t>
  </si>
  <si>
    <t>Philco</t>
  </si>
  <si>
    <t>Quietside</t>
  </si>
  <si>
    <t>Rheem Manufacturing</t>
  </si>
  <si>
    <t>Richmond</t>
  </si>
  <si>
    <t xml:space="preserve">Ruud </t>
  </si>
  <si>
    <t>Samsung</t>
  </si>
  <si>
    <t>Style Crest</t>
  </si>
  <si>
    <t>Tappan</t>
  </si>
  <si>
    <t>Tempstar</t>
  </si>
  <si>
    <t>Thermo</t>
  </si>
  <si>
    <t>Trane</t>
  </si>
  <si>
    <t>United Refrigeration</t>
  </si>
  <si>
    <t>V-Aire</t>
  </si>
  <si>
    <t xml:space="preserve">Weatherking </t>
  </si>
  <si>
    <t>Westinghouse</t>
  </si>
  <si>
    <t>Whirlpool</t>
  </si>
  <si>
    <t>Xenon</t>
  </si>
  <si>
    <t>York Unitary</t>
  </si>
  <si>
    <t>Advanced Distributor</t>
  </si>
  <si>
    <t>Allstyle Coil Co</t>
  </si>
  <si>
    <t>Aspen Manufacturing</t>
  </si>
  <si>
    <t>Energy Saving Products</t>
  </si>
  <si>
    <t>Freedom Air</t>
  </si>
  <si>
    <t>Space Pak</t>
  </si>
  <si>
    <t>Summit Manufacturing</t>
  </si>
  <si>
    <t xml:space="preserve">Unico </t>
  </si>
  <si>
    <t>Other</t>
  </si>
  <si>
    <t>Tons</t>
  </si>
  <si>
    <t>Quantity</t>
  </si>
  <si>
    <t>Manufacturers</t>
  </si>
  <si>
    <t>Qualifying Equipment Ranges</t>
  </si>
  <si>
    <t>Hours of Operation</t>
  </si>
  <si>
    <t>American Standard</t>
  </si>
  <si>
    <t>Beutler Corp</t>
  </si>
  <si>
    <t>Cold Point Corp</t>
  </si>
  <si>
    <t>Fraser - Johnson Unitary</t>
  </si>
  <si>
    <t>&lt;150</t>
  </si>
  <si>
    <t>Air - All</t>
  </si>
  <si>
    <t>Tons_2</t>
  </si>
  <si>
    <t xml:space="preserve">SEER_EER </t>
  </si>
  <si>
    <t>Efficiencies</t>
  </si>
  <si>
    <t>Efficiencies_2</t>
  </si>
  <si>
    <t>Incentive_ton</t>
  </si>
  <si>
    <t>Incentive_Ton_2</t>
  </si>
  <si>
    <t>Incentive_Bonus</t>
  </si>
  <si>
    <t>Incentive_Bonus_2</t>
  </si>
  <si>
    <t>kw_ton</t>
  </si>
  <si>
    <t>&lt;5.4</t>
  </si>
  <si>
    <t>&gt;20.1</t>
  </si>
  <si>
    <t>OLD SYSTEM</t>
  </si>
  <si>
    <t>Old Equipment kW</t>
  </si>
  <si>
    <t>Old Equipment kWh</t>
  </si>
  <si>
    <t>New Equipment Description*</t>
  </si>
  <si>
    <t>New Equipment kW</t>
  </si>
  <si>
    <t>New Equipment kWh</t>
  </si>
  <si>
    <t>kW</t>
  </si>
  <si>
    <t>Project Type:</t>
  </si>
  <si>
    <t>SEER*</t>
  </si>
  <si>
    <t>Minimum  Efficiency</t>
  </si>
  <si>
    <t>EER*</t>
  </si>
  <si>
    <t>Manufacturer  Name</t>
  </si>
  <si>
    <t>kW per Ton</t>
  </si>
  <si>
    <t>Old Equipment SEER / EER</t>
  </si>
  <si>
    <t>ID_Sector</t>
  </si>
  <si>
    <t>ID_Cat</t>
  </si>
  <si>
    <t>ID_SubCat</t>
  </si>
  <si>
    <t>FY05 Measure Name</t>
  </si>
  <si>
    <t>Name</t>
  </si>
  <si>
    <t>ID_BldgType</t>
  </si>
  <si>
    <t>ID_Vintage</t>
  </si>
  <si>
    <t>ID_other2</t>
  </si>
  <si>
    <t>Delivery Mechanism or Program</t>
  </si>
  <si>
    <t>Application</t>
  </si>
  <si>
    <t>Lost Opportunity</t>
  </si>
  <si>
    <t>Location</t>
  </si>
  <si>
    <t>Incremental Capital Cost ($/unit)</t>
  </si>
  <si>
    <t>Incremental O&amp;M Costs and Schedule ($/unit)</t>
  </si>
  <si>
    <t>Present Value of Periodic Capital Replacement Cost ($/unit)</t>
  </si>
  <si>
    <t>Measure Life (years)</t>
  </si>
  <si>
    <t>Basis of Savings</t>
  </si>
  <si>
    <t>Annual Savings @ Busbar (kwh/yr)</t>
  </si>
  <si>
    <t>Bulk Transmission System Coincident Factor</t>
  </si>
  <si>
    <t>System Coincident Peak Reduction (KW)</t>
  </si>
  <si>
    <t>Present Value Incremental Capital Cost ($/kWh)</t>
  </si>
  <si>
    <t>Present Value O &amp; M Cost ($/kWh)</t>
  </si>
  <si>
    <t>Present Value of Periodic Capital Replacement Cost ($/kWh)</t>
  </si>
  <si>
    <t>Total Present Value Cost ($/kWh)</t>
  </si>
  <si>
    <t>Present Value Electric Energy Savings ($/kWh)</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</si>
  <si>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</si>
  <si>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</si>
  <si>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</si>
  <si>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</si>
  <si>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</si>
  <si>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</si>
  <si>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</si>
  <si>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
  </si>
  <si>
    <t>Carbon OffSet</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</si>
  <si>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</si>
  <si>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</si>
  <si>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</si>
  <si>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</si>
  <si>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</si>
  <si>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</si>
  <si>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</si>
  <si>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Regional Benefit / Cost Ratio</t>
  </si>
  <si>
    <t>Related Programs/Activities</t>
  </si>
  <si>
    <t>Comments</t>
  </si>
  <si>
    <t>Levelized Cost</t>
  </si>
  <si>
    <t>Credit ($/unit)</t>
  </si>
  <si>
    <t>RefNo</t>
  </si>
  <si>
    <t>Regional Costs and Bulk Power System Benefits</t>
  </si>
  <si>
    <t>Water System</t>
  </si>
  <si>
    <t>Other Power System Benefits</t>
  </si>
  <si>
    <t>Non-Electric Power Costs/Benefits</t>
  </si>
  <si>
    <t>Total Regional Costs/Benefits (monetizable costs and benefits)</t>
  </si>
  <si>
    <t>Program Data</t>
  </si>
  <si>
    <t>Sector</t>
  </si>
  <si>
    <t>Category</t>
  </si>
  <si>
    <t>Subcategory</t>
  </si>
  <si>
    <t>High efficiency Measure Name</t>
  </si>
  <si>
    <t>Baseline Measure Name</t>
  </si>
  <si>
    <t>Technology, Measure or Practice</t>
  </si>
  <si>
    <t>Building Type</t>
  </si>
  <si>
    <t>Vintage</t>
  </si>
  <si>
    <t>Average Nominal Capacity Used (kBtu/hr)</t>
  </si>
  <si>
    <t>Other 2</t>
  </si>
  <si>
    <t>Measure Type (retrofit, replace on failure, new construction / major renovation)</t>
  </si>
  <si>
    <t>Lost Opportunity?</t>
  </si>
  <si>
    <t>Hours of Operation (Cooling EFLH)</t>
  </si>
  <si>
    <t>Normalization Units</t>
  </si>
  <si>
    <t>High Efficiency Electrical Energy Consumption (kWh/yr)</t>
  </si>
  <si>
    <t>High Efficiency Electrical Power (kW)</t>
  </si>
  <si>
    <t>Baseline Electrical Energy Consumption (kWh/yr)</t>
  </si>
  <si>
    <t>Baseline Power (kW)</t>
  </si>
  <si>
    <t>Annual Electrical Energy Savings (kwh/yr)</t>
  </si>
  <si>
    <t>Peak Demand Savings (kW)</t>
  </si>
  <si>
    <t>Cost of Water and Water Treatment ($/gal)</t>
  </si>
  <si>
    <t>Total Water Cost</t>
  </si>
  <si>
    <t>Present Value of Local Transmission &amp; Distribution System Benefits ($/kWh)</t>
  </si>
  <si>
    <t>Natural Gas Savings (MMBTU/yr)</t>
  </si>
  <si>
    <t>C02 Reduction (tons over expected measure life)</t>
  </si>
  <si>
    <t>Credit/ Reimbursement</t>
  </si>
  <si>
    <t>Reference Number</t>
  </si>
  <si>
    <t>Utility ID</t>
  </si>
  <si>
    <t>Type of Measure  ELECTRIC</t>
  </si>
  <si>
    <t>High Efficiency Product Description / Rating</t>
  </si>
  <si>
    <t>Efficient Product Consumption</t>
  </si>
  <si>
    <t>Baseline Product Description / Rating</t>
  </si>
  <si>
    <t>Baseline Product Consumption</t>
  </si>
  <si>
    <t>Life of
Product
(years)</t>
  </si>
  <si>
    <t>Hours of Operation per yr</t>
  </si>
  <si>
    <t>Rebate Amount</t>
  </si>
  <si>
    <t>Average Baseline Product Cost</t>
  </si>
  <si>
    <t>Incremt'l Cost of Efficient Product</t>
  </si>
  <si>
    <t>Assumed Energy Cost  (kWh)</t>
  </si>
  <si>
    <t>Rebate as a % of Incremt'l Cost</t>
  </si>
  <si>
    <t>Incremt'l Cost Payback Period w/o Rebate</t>
  </si>
  <si>
    <t>Incremt'l Cost Payback Period w/ Rebate</t>
  </si>
  <si>
    <t>Annual 
kWh
Saved per Product</t>
  </si>
  <si>
    <t>Rebated cost/kWh Saved per Product</t>
  </si>
  <si>
    <t>Rebated Lifetime cost /KWh Saved per Product</t>
  </si>
  <si>
    <t>Product Kw Savings</t>
  </si>
  <si>
    <t>Generator Peak kW Savings</t>
  </si>
  <si>
    <t xml:space="preserve">Actual Ave Rpt Yr kWh Savings per Product </t>
  </si>
  <si>
    <t xml:space="preserve"># Products Rebated </t>
  </si>
  <si>
    <t xml:space="preserve"># Partic-ipants </t>
  </si>
  <si>
    <t xml:space="preserve">Projected kWh Saved all Products </t>
  </si>
  <si>
    <t>Actual kWh Saved all Products (Rebate data)</t>
  </si>
  <si>
    <t>Total O&amp;M Savings</t>
  </si>
  <si>
    <t>Total Energy $ Savings</t>
  </si>
  <si>
    <t>Joint w/Gas Project (#)</t>
  </si>
  <si>
    <t>Part. Test</t>
  </si>
  <si>
    <t>Utility Test</t>
  </si>
  <si>
    <t>Rate Impact Test</t>
  </si>
  <si>
    <t>Soc. Test</t>
  </si>
  <si>
    <t>Facility Name (trade secret)</t>
  </si>
  <si>
    <t>Coincidence Factor</t>
  </si>
  <si>
    <t>PROJECTED PEAK DEMAND (KW) SAVINGS</t>
  </si>
  <si>
    <t>Rooftop Units less than 5.4 tons</t>
  </si>
  <si>
    <t>Assume average unit size of 4 tons, 13.12 SEER</t>
  </si>
  <si>
    <t>Assume average unit size of 4 tons, 12.0 SEER</t>
  </si>
  <si>
    <t>Rooftop Units 5.5 tons to 11.3 tons</t>
  </si>
  <si>
    <t>Assume average unit size of 7.5 tons, 11.56 EER</t>
  </si>
  <si>
    <t>Assume average unit size of 7.5 tons, EER 10.1 (code minimum efficiency)</t>
  </si>
  <si>
    <t>Rooftop Units 11.4 to 19.9 tons</t>
  </si>
  <si>
    <t>Assume average unit size of 15 tons, 11.46 EER</t>
  </si>
  <si>
    <t>Assume average unit size of 15 tons, 9.5 EER (code minimum efficiency)</t>
  </si>
  <si>
    <t>Rooftop Units 20 to 63.3 tons (assumed 25 Ton average)</t>
  </si>
  <si>
    <t>Assume average unit size of 25 tons, 10.46 EER</t>
  </si>
  <si>
    <t>Assume average unit size of 25 tons, 9.3 EER (minimum code efficiency)</t>
  </si>
  <si>
    <t>Rooftop Units greater than 63 tons (assumed 90 Tons average)</t>
  </si>
  <si>
    <t>Assume average unit size of 90 tons, 9.35 EER based on an average of CEE Information (see comments below)</t>
  </si>
  <si>
    <t>Assume average unit size of 90 tons, 9.0 (code minimum efficiency)</t>
  </si>
  <si>
    <t>RTUs 5.4 Tons Single Phase</t>
  </si>
  <si>
    <t>Assume average unit size of 4 tons, 13.9 SEER</t>
  </si>
  <si>
    <t>Assume average unit size of 4 tons, 13.0 SEER (minimum code efficiency)</t>
  </si>
  <si>
    <t>RTUs 5.4 Tons Three Phase</t>
  </si>
  <si>
    <t>C &amp; I</t>
  </si>
  <si>
    <t>HVAC</t>
  </si>
  <si>
    <t>RTU</t>
  </si>
  <si>
    <t>Education - Secondary School</t>
  </si>
  <si>
    <t>High efficiency equipment meets EER requirement</t>
  </si>
  <si>
    <t>replace on failure</t>
  </si>
  <si>
    <t>Zone 1</t>
  </si>
  <si>
    <t>per unit</t>
  </si>
  <si>
    <t>NA</t>
  </si>
  <si>
    <t>N/A</t>
  </si>
  <si>
    <t>Office</t>
  </si>
  <si>
    <t>Retail</t>
  </si>
  <si>
    <t>High Eff Rooftop Unit &lt;65 kBTU/h (5.42 tons)</t>
  </si>
  <si>
    <t>Standard Rooftop Unit &lt;65 kBTU/h (5.42 tons)</t>
  </si>
  <si>
    <t>Zone 2</t>
  </si>
  <si>
    <t>High Eff Rooftop Unit =&gt; 65 and &lt; 135 kBtu/h (5.42 to 11.25 tons)</t>
  </si>
  <si>
    <t>Standard Rooftop Unit =&gt; 65 and &lt; 135 kBtu/h (5.42 to 11.25 tons)</t>
  </si>
  <si>
    <t>Education - University</t>
  </si>
  <si>
    <t>High Eff Rooftop Unit =&gt;135 and &lt; 239 KBTU/h (11.25 to 20 tons)</t>
  </si>
  <si>
    <t>Standard Rooftop Unit =&gt;135 and &lt; 239 KBTU/h (11.25 to 20 tons)</t>
  </si>
  <si>
    <t>High Eff Rooftop Unit =&gt;240 and &lt; 759 kBTU/h (20 to 63.33 tons)</t>
  </si>
  <si>
    <t>Standard Rooftop Unit =&gt;240 and &lt; 759 kBTU/h (20 to 63.33 tons)</t>
  </si>
  <si>
    <t xml:space="preserve">High Eff Rooftop Unit =&gt; 760 kBTU/h (63.33 tons) </t>
  </si>
  <si>
    <t xml:space="preserve">Standard Rooftop Unit =&gt; 760 kBTU/h (63.33 tons) </t>
  </si>
  <si>
    <t>High Eff PTAC Electric - 7 kBtu/h (0.58 tons)</t>
  </si>
  <si>
    <t>Standard PTAC Electric - 7 kBtu/h (0.58 tons)</t>
  </si>
  <si>
    <t xml:space="preserve">NA </t>
  </si>
  <si>
    <t xml:space="preserve">     Detailed Technical Assumption Reference Sources</t>
  </si>
  <si>
    <t>Xcel</t>
  </si>
  <si>
    <t>Assume average size of 1 ton, 11 EER</t>
  </si>
  <si>
    <t>Assume average size of 1 ton, 8.29 EER</t>
  </si>
  <si>
    <t>8.29 EER before (blended code minimum between heat pumps and PTACS), 11.0 EER after.  Incremental cost is based on dicsussions between vendors and Gene Scales</t>
  </si>
  <si>
    <t>Centrifugal Chillers - 300 tons and less</t>
  </si>
  <si>
    <t>Assume 300 Ton chiller, an average of 0.567, 0.5 and 0.535 kW/ton</t>
  </si>
  <si>
    <t>Assume 300 Ton chiller, 0.634 kW/ton</t>
  </si>
  <si>
    <t xml:space="preserve">Incremental cost based on average of costs in this size range.  To estimate the energy savings, we used the formula:  =AVERAGE(0.567,0.5,0.567,0.535)*300*1000.  There is an extra 0.567 kW/ton in this equation because in developing incremental cost estimates, Trane and York provided incremental cost data and corresponding kW/ton data.  Each manufacturer has a unit that operates at 0.567 kW/ton, but with different cost points.  Therefore, 0.567 was used twice so the energy savings estimate would be consistent with how we developed the incremental cost estimates.
</t>
  </si>
  <si>
    <t>Centrifugal Chillers - greater than 300 tons</t>
  </si>
  <si>
    <t>Assume 500 Ton chiller, an average of 0.542 and .505 kW/ton</t>
  </si>
  <si>
    <t>Assume 500 Ton chiller, 0.576 kW/ton</t>
  </si>
  <si>
    <t>Centrifugal Chiller</t>
  </si>
  <si>
    <t>High Eff Centrifugal Chiller, &lt;150 ton</t>
  </si>
  <si>
    <t>Centrifugal Chiller, &lt;150 ton</t>
  </si>
  <si>
    <t>High Eff Centrifugal Chiller, 150 - 300 ton</t>
  </si>
  <si>
    <t>Centrifugal Chiller, 150 - 300 ton</t>
  </si>
  <si>
    <t>High Eff Centrifugal Chiller, =&gt;300 ton</t>
  </si>
  <si>
    <t>Centrifugal Chiller, =&gt;300 ton</t>
  </si>
  <si>
    <t>Air-Cooled Chillers - avg. capacity 250 tons</t>
  </si>
  <si>
    <t>Air-cooled chiller average capacity 250 tons, 1.15 kW/ton</t>
  </si>
  <si>
    <t>Air-cooled chiller average capacity 250 tons, 1.26 kW/ton</t>
  </si>
  <si>
    <t>Incremental cost $34/ton, average size 250 tons</t>
  </si>
  <si>
    <t>Air-Cooled Chiller</t>
  </si>
  <si>
    <t>High Eff Air-Cooled Chiller &lt; 150 tons</t>
  </si>
  <si>
    <t>Baseline Air-Cooled Chiller &lt; 150 tons</t>
  </si>
  <si>
    <t>Baseline IPLV (kW/ton)</t>
  </si>
  <si>
    <t>High Efficiency IPLV (kW/ton)</t>
  </si>
  <si>
    <t>Common Name</t>
  </si>
  <si>
    <t>C/I HVAC - Rooftop Units (RTUs)</t>
  </si>
  <si>
    <t>Algorithms (impacts per unit)</t>
  </si>
  <si>
    <t>Electrical Energy Savings (kWh/yr)</t>
  </si>
  <si>
    <t>= ( kBtu/hr_cool)  x  [( 1/EER_EE  -  1/EER_base )]  x  ( EFLH_cool )</t>
  </si>
  <si>
    <t>Summer Electrical Demand Savings (kW)</t>
  </si>
  <si>
    <t>= ( kBtu/hr_cool)  x  [( 1/EER_EE  -  1/EER_base )] x CF</t>
  </si>
  <si>
    <t>Where:</t>
  </si>
  <si>
    <t>kBtu/hr_cool</t>
  </si>
  <si>
    <t>= the nominal rating of the cooling capacity of the rooftop unit</t>
  </si>
  <si>
    <t>EER_base</t>
  </si>
  <si>
    <t>= energy efficiency ratio of the baseline equipment (Btu/W-hr)</t>
  </si>
  <si>
    <t>EER_EE</t>
  </si>
  <si>
    <t>= energy efficiency ratio of the high efficiency equipment (Btu/W-hr)</t>
  </si>
  <si>
    <t>EFLH _cool</t>
  </si>
  <si>
    <t>= the equivalent full load hours of cooling per zone from Table 1</t>
  </si>
  <si>
    <t>Oversize Factor_heat</t>
  </si>
  <si>
    <t>= the oversize factor of the heating equipment, assumed to be 0.65</t>
  </si>
  <si>
    <t>CF</t>
  </si>
  <si>
    <t>= Stipulated coincident demand factor, equal to 0.90. (3)</t>
  </si>
  <si>
    <t>Table 1: Eqiuvalent Full Load Hours of cooling per zone in Minnesota by building type (4)</t>
  </si>
  <si>
    <t>Zone 3</t>
  </si>
  <si>
    <t>Education - Community College</t>
  </si>
  <si>
    <t>Health/Medical - Clinic</t>
  </si>
  <si>
    <t>Health/Medical - Hospital</t>
  </si>
  <si>
    <t xml:space="preserve">Lodging </t>
  </si>
  <si>
    <t>Incremental Cost</t>
  </si>
  <si>
    <t>Table 4: Rooftop Unit Incremental Cost (2)</t>
  </si>
  <si>
    <t>Size</t>
  </si>
  <si>
    <t>Measure Life</t>
  </si>
  <si>
    <t>15 years for all Rooftop Units (2)</t>
  </si>
  <si>
    <t>Input Assumptions for Typical Applications</t>
  </si>
  <si>
    <t>Table 5: High efficiency RTU efficiencies per size of rooftop unit (5)</t>
  </si>
  <si>
    <t>Table 6: Minimum cooling and heating efficiencies per size of rooftop units (1)</t>
  </si>
  <si>
    <t>(SEER)</t>
  </si>
  <si>
    <t>References</t>
  </si>
  <si>
    <t>Minnesota Energy Code</t>
  </si>
  <si>
    <t>DEER</t>
  </si>
  <si>
    <t>NYSERDA (New York State Energy Research and Development Authority); NY Energy $mart Programs Deemed Savings Database - Source for coincidence factor</t>
  </si>
  <si>
    <t>Arkansas Deemed Savings Quick Start Program Draft Report Commercial Measures, Final Report.  Generated using MN CDD data for each zone (see "Cooling" worksheet for details).</t>
  </si>
  <si>
    <t>Xcel Product Techinical Assumptions</t>
  </si>
  <si>
    <t>C/I HVAC - PTAC (Packaged Thermal Air Conditioners)</t>
  </si>
  <si>
    <t>= ( kBtu/hr_cool)  x  ( 1/EER_Base  -  1/EER_EE ) x CF</t>
  </si>
  <si>
    <t>= the nominal rating of the cooling capacity of the unit.</t>
  </si>
  <si>
    <t>= energy efficiency ratio of the baseline equipment (Btu/W-h), if unavailable, use values in Table 3.</t>
  </si>
  <si>
    <t>EER_Base</t>
  </si>
  <si>
    <t>= energy efficiency ratio of the high efficiency equipment (Btu/W-h), if unavailable, use values in Table 4.</t>
  </si>
  <si>
    <t>EFLH_cool</t>
  </si>
  <si>
    <t>= the equivalent full load hours of cooling for each zone and building type from Table 1.</t>
  </si>
  <si>
    <t>= Stipulated coincident demand factor, equal to 0.90. (2)</t>
  </si>
  <si>
    <t>Table 1: Equivalent Full Load Hours of cooling per zone in Minnesota by building type (3)</t>
  </si>
  <si>
    <t>Table 2:  PTAC Incremental Costs (1)</t>
  </si>
  <si>
    <t>High Eff PTAC Electric -  7 to 15 kBtu/h (.58 to 1.25 tons)</t>
  </si>
  <si>
    <t>15 years for all PTACs (1)</t>
  </si>
  <si>
    <t>Table 3: High efficiency values per size of PTAC (1)</t>
  </si>
  <si>
    <t>High Eff PTAC Electric - 15 kBtu/h (1.25 tons)</t>
  </si>
  <si>
    <t>Table 4: Standard efficiency values per size of PTAC (1)</t>
  </si>
  <si>
    <t>Standard PTAC Electric - 15 kBtu/h (1.25 tons)</t>
  </si>
  <si>
    <t xml:space="preserve">California Database for Energy Efficiency Resources (DEER), 2005. </t>
  </si>
  <si>
    <t>C/I HVAC - Centrifugal Chillers</t>
  </si>
  <si>
    <t>= ( Capacity )  x  [( IPLV_base  -  IPLV_EE )]  x  ( EFLH_cool )</t>
  </si>
  <si>
    <t>Capacity</t>
  </si>
  <si>
    <t>= the nominal rating of the cooling capacity of the centrifugal chiller (tons)</t>
  </si>
  <si>
    <t>IPLV_EE</t>
  </si>
  <si>
    <t>= the integrated part load value of the energy efficient chiller (kW/ton)</t>
  </si>
  <si>
    <t>IPLV_base</t>
  </si>
  <si>
    <t>= the integrated part load value of the baseline chiller (kW/ton)</t>
  </si>
  <si>
    <t>= Stipulated coincident demand factor, equal to 0.90 (4)</t>
  </si>
  <si>
    <t>Table 1: Eqiuvalent Full Load Hours of cooling per zone in Minnesota by building type (2)</t>
  </si>
  <si>
    <t>Incremental Cost()</t>
  </si>
  <si>
    <t>Table 2: Incremental Cost (1)</t>
  </si>
  <si>
    <t>Incremental Cost/unit ($/ton)</t>
  </si>
  <si>
    <t>Measure Life of Centrifugal Chillers is 20 yr (1)</t>
  </si>
  <si>
    <t>Table 3: Baseline efficiency ratings per size of centrifugal chillers (5)</t>
  </si>
  <si>
    <t>Type</t>
  </si>
  <si>
    <t>Table 4: High efficiency ratings per size of centrifugal chillers (6)</t>
  </si>
  <si>
    <t>California Database for Energy Efficiency Resources (DEER)</t>
  </si>
  <si>
    <t>Arkansas Deemed Savings Quick Start Program Draft Report Commercial Measures Final Report, Nexant. Generated using MN CDD data for each zone (see "Cooling" worksheet for details).</t>
  </si>
  <si>
    <t>Technical Reference User Manual No. 2004-31, Efficiency Vermont, 12/31/04.</t>
  </si>
  <si>
    <t>MN State Energy Code</t>
  </si>
  <si>
    <t>High efficiency values taken from utility PTAS</t>
  </si>
  <si>
    <t>C/I HVAC - Air Cooled Chillers</t>
  </si>
  <si>
    <t>= ( Capacity )  x  [ IPLV_base  -  IPLV_ee ]  x  ( EFLH_cool )</t>
  </si>
  <si>
    <t>= the nominal rating of equipment cooling capacity (tons)</t>
  </si>
  <si>
    <t>IPLV_ee</t>
  </si>
  <si>
    <t>= the integrated part load ratio of the energy efficiency equipment (Btu/W-h) (if equipment values are unavailable, refer to Table 4)</t>
  </si>
  <si>
    <t>= the integrated part load ratio of the baseline equipment (Btu/W-h) (if equipment values are unavailable, refer to Table 3)</t>
  </si>
  <si>
    <t>Table 2: Incremental Cost (6)</t>
  </si>
  <si>
    <t>Measure Life of Air-Cooled Chiller equipment is 25 yr (3)</t>
  </si>
  <si>
    <t>Table 3: Baseline equipment IPLV per size and type of air cooled chiller (5)</t>
  </si>
  <si>
    <t>Baseline Air-Cooled Chiller &gt; 150 tons</t>
  </si>
  <si>
    <t>Table 4: High efficiency equipment IPLV per size and type of air cooled chiller (1)</t>
  </si>
  <si>
    <t>High Eff Air-Cooled Chiller &gt; 150 tons</t>
  </si>
  <si>
    <t>Taken from utility PTAS</t>
  </si>
  <si>
    <t>= ( kBtu/hr_cool)  x  (1/EER_Base   -   1/EER_EE )  x  ( EFLH_cool )</t>
  </si>
  <si>
    <t>New Equipment  SEER / EER</t>
  </si>
  <si>
    <t>Maximum Tonnage</t>
  </si>
  <si>
    <t>ESK</t>
  </si>
  <si>
    <t>Modified Customer Information form to use groups of "Radio buttons" for choice lists - forces user to choose just one.</t>
  </si>
  <si>
    <t>Note: In Columns B and J, please enter Existing and Actual SEER or EER value, respectively.</t>
  </si>
  <si>
    <t>Changed validation for unit counts (existing and new) on both Rebate Information forms to allow any whole number =&gt;0</t>
  </si>
  <si>
    <t>Aaon</t>
  </si>
  <si>
    <t>AirQuest</t>
  </si>
  <si>
    <t>AirEase</t>
  </si>
  <si>
    <t>EspiTech</t>
  </si>
  <si>
    <t>KeepRite</t>
  </si>
  <si>
    <t>Changed validation for EER/SEER columns on Rooftop form to allow any value.  Existing allows any value &gt;0.  Proposed allows any value &gt;= minimum value.</t>
  </si>
  <si>
    <t>Spelling errors in manufacturer list corrected.</t>
  </si>
  <si>
    <t>CMB</t>
  </si>
  <si>
    <t>(Cooling RTU/Chillers savings) Looks like some things are not filling in correctly and filling down correctly - Resolution- testing</t>
  </si>
  <si>
    <t>(Financial Summary) Pay back does not match SMMPA's database- Resolution- Review w/ Stephanie</t>
  </si>
  <si>
    <t>(Financial Summary) Do we want to add logo to this page?- Resolution- Attempt C&amp;S logo at top, and Triad logo on bottom</t>
  </si>
  <si>
    <t>(Overall) Need to adjust widths of columns - Resolution - Review and adjust.</t>
  </si>
  <si>
    <t>Efficiency Bonus Rebate*  $/IPLV</t>
  </si>
  <si>
    <r>
      <t xml:space="preserve">Bonus Rebate $/IPLV  </t>
    </r>
    <r>
      <rPr>
        <i/>
        <sz val="8"/>
        <rFont val="Arial"/>
        <family val="2"/>
      </rPr>
      <t>(Table 3)</t>
    </r>
  </si>
  <si>
    <t>0.74  FLV,           0.63  IPLV</t>
  </si>
  <si>
    <t>0.67  FLV,           0.58  IPLV</t>
  </si>
  <si>
    <t>0.59  FLV,           0.52  IPLV</t>
  </si>
  <si>
    <t>0.69  FLV,          0.65  IPLV</t>
  </si>
  <si>
    <t>0.62  FLV,          0.58  IPLV</t>
  </si>
  <si>
    <t>0.56  FLV,           0.53 IPLV</t>
  </si>
  <si>
    <t>Water-Cooled Screw/Scroll Chiller- Less than 150 Tons</t>
  </si>
  <si>
    <t>Water-Cooled Screw/Scroll Chiller - 150 to 299 Tons</t>
  </si>
  <si>
    <t>Water-Cooled Screw/Scroll Chiller - 300 Tons and Greater</t>
  </si>
  <si>
    <t>760,000 Btu/hour or greater</t>
  </si>
  <si>
    <t xml:space="preserve">240,000 - 759,999 Btu/hour </t>
  </si>
  <si>
    <t>Base Efficiency</t>
  </si>
  <si>
    <t>9.5 EER</t>
  </si>
  <si>
    <t>Base Efficiency comes from (MN Code - ASHRAE 90.1-2004)</t>
  </si>
  <si>
    <t>Air Cooled Chillers</t>
  </si>
  <si>
    <t>Please reference "Rebate Information (Rooftops)" for information on Air Cooled Chillers (EER)</t>
  </si>
  <si>
    <t>Heat Pump (ASHP,GSHP) Updates for 2010. Resolution- Need approval</t>
  </si>
  <si>
    <r>
      <t xml:space="preserve">(Terms and Conditions) These are dated and the paragraph spacing is off. Need to update… and also any rebate cap dollars. - Resolution- </t>
    </r>
    <r>
      <rPr>
        <sz val="11"/>
        <rFont val="Calibri"/>
        <family val="2"/>
      </rPr>
      <t>Kelly</t>
    </r>
    <r>
      <rPr>
        <sz val="11"/>
        <color indexed="8"/>
        <rFont val="Calibri"/>
        <family val="2"/>
      </rPr>
      <t xml:space="preserve"> to send newest form to E. Kakulis for incorporation.</t>
    </r>
  </si>
  <si>
    <t>Base IPLV (kW/ton)</t>
  </si>
  <si>
    <t>VMC</t>
  </si>
  <si>
    <t>Adjusted columns to fit all pages, enlarged pages so they are readable when printed and full space is utilized. Made a few other formatting changes to the front cover as well as terms and conditions</t>
  </si>
  <si>
    <t>0410</t>
  </si>
  <si>
    <t>Total Demand and Energy</t>
  </si>
  <si>
    <t>Annual Energy Cost - Old System</t>
  </si>
  <si>
    <t>Annual Energy Cost - New System</t>
  </si>
  <si>
    <t>Total Demand and Energy Savings</t>
  </si>
  <si>
    <t>Annual Energy Savings</t>
  </si>
  <si>
    <t>COOLING EQUIPMENT: Chiller</t>
  </si>
  <si>
    <r>
      <t xml:space="preserve">Minimum Efficiency </t>
    </r>
    <r>
      <rPr>
        <i/>
        <sz val="8"/>
        <rFont val="Arial"/>
        <family val="2"/>
      </rPr>
      <t>(kW/Ton)</t>
    </r>
  </si>
  <si>
    <t>TABLE 4 - GUIDELINES FOR COOLING HOURS</t>
  </si>
  <si>
    <t xml:space="preserve">SAVINGS INFORMATION - ROOFTOP and PACKAGE UNITS </t>
  </si>
  <si>
    <t>Install Address:</t>
  </si>
  <si>
    <t>Customer Name:</t>
  </si>
  <si>
    <t>Blended</t>
  </si>
  <si>
    <t>frwrfewrfs</t>
  </si>
  <si>
    <t>Old Equipment kW / Ton</t>
  </si>
  <si>
    <t>New Equipment  kW/Ton</t>
  </si>
  <si>
    <t>fdsw</t>
  </si>
  <si>
    <r>
      <t xml:space="preserve">Unit
Size
</t>
    </r>
    <r>
      <rPr>
        <i/>
        <sz val="8"/>
        <rFont val="Arial"/>
        <family val="2"/>
      </rPr>
      <t>(Tons)</t>
    </r>
  </si>
  <si>
    <r>
      <t xml:space="preserve">Unit
Code
</t>
    </r>
    <r>
      <rPr>
        <i/>
        <sz val="8"/>
        <rFont val="Arial"/>
        <family val="2"/>
      </rPr>
      <t>(Table 1)</t>
    </r>
  </si>
  <si>
    <t>Manufacturer
Name</t>
  </si>
  <si>
    <t>Model
Number</t>
  </si>
  <si>
    <t>AHRI
Ref
Number</t>
  </si>
  <si>
    <r>
      <t xml:space="preserve">Minimum
Efficiency
</t>
    </r>
    <r>
      <rPr>
        <i/>
        <sz val="8"/>
        <rFont val="Arial"/>
        <family val="2"/>
      </rPr>
      <t>(Table 1)</t>
    </r>
  </si>
  <si>
    <r>
      <t xml:space="preserve">Annual
Hours of
Operation
</t>
    </r>
    <r>
      <rPr>
        <i/>
        <sz val="8"/>
        <rFont val="Arial"/>
        <family val="2"/>
      </rPr>
      <t>(Table 2)</t>
    </r>
  </si>
  <si>
    <t>Equipment
Cost</t>
  </si>
  <si>
    <r>
      <t xml:space="preserve">Base
Rebate
$/Ton
</t>
    </r>
    <r>
      <rPr>
        <i/>
        <sz val="8"/>
        <rFont val="Arial"/>
        <family val="2"/>
      </rPr>
      <t>(Table1)</t>
    </r>
  </si>
  <si>
    <r>
      <t xml:space="preserve">Base
Rebate
</t>
    </r>
    <r>
      <rPr>
        <sz val="8"/>
        <rFont val="Arial"/>
        <family val="2"/>
      </rPr>
      <t>(G x K x N)</t>
    </r>
  </si>
  <si>
    <r>
      <t xml:space="preserve">Eligible
Efficiency
Bonus
</t>
    </r>
    <r>
      <rPr>
        <sz val="8"/>
        <rFont val="Arial"/>
        <family val="2"/>
      </rPr>
      <t xml:space="preserve">(J-I) </t>
    </r>
  </si>
  <si>
    <r>
      <t xml:space="preserve">Bonus
Rebate**
$/Ton
</t>
    </r>
    <r>
      <rPr>
        <i/>
        <sz val="8"/>
        <rFont val="Arial"/>
        <family val="2"/>
      </rPr>
      <t>(Table 1)</t>
    </r>
  </si>
  <si>
    <r>
      <t xml:space="preserve">Bonus
Rebate
</t>
    </r>
    <r>
      <rPr>
        <sz val="8"/>
        <rFont val="Arial"/>
        <family val="2"/>
      </rPr>
      <t>(P x Q) x
(G x K) x 10</t>
    </r>
  </si>
  <si>
    <r>
      <t xml:space="preserve">Total
Rebate
</t>
    </r>
    <r>
      <rPr>
        <sz val="8"/>
        <rFont val="Arial"/>
        <family val="2"/>
      </rPr>
      <t>(O + R)</t>
    </r>
  </si>
  <si>
    <t>* SEER=Seasonal Energy Efficiency Rating;  EER=Energy Efficiency Rating</t>
  </si>
  <si>
    <r>
      <t xml:space="preserve">** Efficiency Bonus Rebate provides an additional incentive for each .1 SEER/EER </t>
    </r>
    <r>
      <rPr>
        <u val="single"/>
        <sz val="8"/>
        <rFont val="Arial"/>
        <family val="2"/>
      </rPr>
      <t>above</t>
    </r>
    <r>
      <rPr>
        <sz val="8"/>
        <rFont val="Arial"/>
        <family val="2"/>
      </rPr>
      <t xml:space="preserve"> the Minimum Efficiency.</t>
    </r>
  </si>
  <si>
    <t>Actual
SEER*
or EER*</t>
  </si>
  <si>
    <t>M2</t>
  </si>
  <si>
    <t>Unit
Code</t>
  </si>
  <si>
    <t>Minimum
Efficiency</t>
  </si>
  <si>
    <t>Base Rebate
$/Ton</t>
  </si>
  <si>
    <t>Minimum
Tonnage</t>
  </si>
  <si>
    <t>Efficiency Bonus Rebate**
$/Ton</t>
  </si>
  <si>
    <r>
      <t xml:space="preserve">Unit
Code
</t>
    </r>
    <r>
      <rPr>
        <i/>
        <sz val="8"/>
        <rFont val="Arial"/>
        <family val="2"/>
      </rPr>
      <t>(Table 3)</t>
    </r>
  </si>
  <si>
    <t>Manufacturer 
Name</t>
  </si>
  <si>
    <r>
      <t xml:space="preserve">Annual
Hours of
Operation
</t>
    </r>
    <r>
      <rPr>
        <i/>
        <sz val="8"/>
        <rFont val="Arial"/>
        <family val="2"/>
      </rPr>
      <t>(Table 4)</t>
    </r>
  </si>
  <si>
    <r>
      <t xml:space="preserve">Base
Rebate
$/Ton
</t>
    </r>
    <r>
      <rPr>
        <i/>
        <sz val="8"/>
        <rFont val="Arial"/>
        <family val="2"/>
      </rPr>
      <t>(Table3)</t>
    </r>
  </si>
  <si>
    <r>
      <t xml:space="preserve">Size
</t>
    </r>
    <r>
      <rPr>
        <i/>
        <sz val="8"/>
        <rFont val="Arial"/>
        <family val="2"/>
      </rPr>
      <t>(Tons)</t>
    </r>
  </si>
  <si>
    <t>Qualifying Equipment
(Water or Air Cooled)</t>
  </si>
  <si>
    <t>Rated
Full
Load
Eff.</t>
  </si>
  <si>
    <t>Rated
IPLV
Eff.</t>
  </si>
  <si>
    <t>T</t>
  </si>
  <si>
    <t>U</t>
  </si>
  <si>
    <r>
      <t>Note:</t>
    </r>
    <r>
      <rPr>
        <sz val="10"/>
        <rFont val="Arial"/>
        <family val="2"/>
      </rPr>
      <t xml:space="preserve">  Qualifying chillers must meet ARI 550 Standard.  </t>
    </r>
    <r>
      <rPr>
        <b/>
        <sz val="10"/>
        <rFont val="Arial"/>
        <family val="2"/>
      </rPr>
      <t>A copy of the manufacturer's applicable unit rating must accompany this application.</t>
    </r>
  </si>
  <si>
    <t>Business Type</t>
  </si>
  <si>
    <r>
      <t xml:space="preserve">Base
Rebate
$/Ton
</t>
    </r>
    <r>
      <rPr>
        <sz val="8"/>
        <rFont val="Arial"/>
        <family val="2"/>
      </rPr>
      <t>(H x M x P)</t>
    </r>
  </si>
  <si>
    <t>Efficiency
Bonus Rebate*
($/IPLV)</t>
  </si>
  <si>
    <t>Less than or equal to 65,000 Btu/hour</t>
  </si>
  <si>
    <t>Air Cooled Chillers (all types)</t>
  </si>
  <si>
    <t xml:space="preserve">SAVINGS INFORMATION -  AIR COOLED CHILLERS </t>
  </si>
  <si>
    <t xml:space="preserve">SAVINGS INFORMATION -  WATER COOLED CHILLERS </t>
  </si>
  <si>
    <t>5.  REBATE INFORMATION - WATER COOLED CHILLERS (please print)</t>
  </si>
  <si>
    <t>5.  REBATE INFORMATION -  AIR COOLED CHILLERS (please print)</t>
  </si>
  <si>
    <r>
      <rPr>
        <b/>
        <sz val="10"/>
        <rFont val="Arial"/>
        <family val="2"/>
      </rPr>
      <t>Note:</t>
    </r>
    <r>
      <rPr>
        <sz val="10"/>
        <rFont val="Arial"/>
        <family val="2"/>
      </rPr>
      <t xml:space="preserve"> </t>
    </r>
  </si>
  <si>
    <t>Qualifying chillers must meet both full load and IPLV minimum efficiency requirements shown in Table 3 above to be eligible</t>
  </si>
  <si>
    <r>
      <t xml:space="preserve">and have kW per Ton ratings stamped on the nameplate. </t>
    </r>
    <r>
      <rPr>
        <b/>
        <sz val="10"/>
        <rFont val="Arial"/>
        <family val="2"/>
      </rPr>
      <t>Documentation is required</t>
    </r>
    <r>
      <rPr>
        <sz val="10"/>
        <rFont val="Arial"/>
        <family val="2"/>
      </rPr>
      <t>. This can be a printout from the AHRI directory</t>
    </r>
  </si>
  <si>
    <t>(www.ahridirectory.org) or if the chiller has not been tested by AHRI, manufacturer documentation must show the rated capacity (tons),</t>
  </si>
  <si>
    <t>and the IPLV efficiency and full-load efficiency at AHRI standard 550/590 rating conditions.</t>
  </si>
  <si>
    <t>The motors and/or variable speed drives in chiller units are not independently eligible for additional rebates offered under the</t>
  </si>
  <si>
    <t>Commercial Motor and Variable Speed Drive Rebate Program.</t>
  </si>
  <si>
    <t>IPLV - Integrated Part Load Value</t>
  </si>
  <si>
    <t>EER - Energy Efficiency Rating</t>
  </si>
  <si>
    <t>INVESTMENT IN EFFICIENCY:</t>
  </si>
  <si>
    <t>Net High Efficiency Investment</t>
  </si>
  <si>
    <t>Total Investment</t>
  </si>
  <si>
    <t>Cost Differential for High Efficiency</t>
  </si>
  <si>
    <t>Annual Energy Cost Savings</t>
  </si>
  <si>
    <t>Old Equipment EER</t>
  </si>
  <si>
    <t>IPLV
Efficiency
EER</t>
  </si>
  <si>
    <t>IPLV EER</t>
  </si>
  <si>
    <t>New Equipment  EER</t>
  </si>
  <si>
    <t>New Equipment  IPLV EER</t>
  </si>
  <si>
    <r>
      <t xml:space="preserve">Full
Load
EER
</t>
    </r>
    <r>
      <rPr>
        <i/>
        <sz val="8"/>
        <rFont val="Arial"/>
        <family val="2"/>
      </rPr>
      <t>(Table 3)</t>
    </r>
  </si>
  <si>
    <t xml:space="preserve">Full-Load
 Efficiency EER
</t>
  </si>
  <si>
    <r>
      <t xml:space="preserve">IPLV
EER
</t>
    </r>
    <r>
      <rPr>
        <i/>
        <sz val="8"/>
        <rFont val="Arial"/>
        <family val="2"/>
      </rPr>
      <t>(Table 3)</t>
    </r>
  </si>
  <si>
    <t>Rated
Full
Load
EER</t>
  </si>
  <si>
    <t>Rated
IPLV
EER</t>
  </si>
  <si>
    <r>
      <rPr>
        <b/>
        <sz val="10"/>
        <rFont val="Arial"/>
        <family val="2"/>
      </rPr>
      <t>*</t>
    </r>
    <r>
      <rPr>
        <sz val="10"/>
        <rFont val="Arial"/>
        <family val="2"/>
      </rPr>
      <t xml:space="preserve">Efficiency Bonus Rebate provides an additional incentive for each .1 EER </t>
    </r>
    <r>
      <rPr>
        <u val="single"/>
        <sz val="10"/>
        <rFont val="Arial"/>
        <family val="2"/>
      </rPr>
      <t>above</t>
    </r>
    <r>
      <rPr>
        <sz val="10"/>
        <rFont val="Arial"/>
        <family val="2"/>
      </rPr>
      <t xml:space="preserve"> the minimum efficiency.</t>
    </r>
  </si>
  <si>
    <t>Convenience Store</t>
  </si>
  <si>
    <t>Education - Primary</t>
  </si>
  <si>
    <t>Education - Secondary</t>
  </si>
  <si>
    <t>Lodging</t>
  </si>
  <si>
    <t>Manufacturing</t>
  </si>
  <si>
    <t>Office - Low Rise</t>
  </si>
  <si>
    <t>Office - Mid Rise</t>
  </si>
  <si>
    <t>Office - High Rise</t>
  </si>
  <si>
    <t>Restaurant</t>
  </si>
  <si>
    <t>Retail - Large Department Store</t>
  </si>
  <si>
    <t>Retail - Strip Mall</t>
  </si>
  <si>
    <t>Warehouse</t>
  </si>
  <si>
    <r>
      <rPr>
        <b/>
        <sz val="8"/>
        <rFont val="Arial"/>
        <family val="2"/>
      </rPr>
      <t>Note:</t>
    </r>
    <r>
      <rPr>
        <sz val="8"/>
        <rFont val="Arial"/>
        <family val="2"/>
      </rPr>
      <t xml:space="preserve">  Qualifying Unitary A/C Units must have been tested in accordance with ARI Test Standard test procedures and have nameplate data stamped with SEER/EER.    Unitary systems must meet ARI 210/240 if under 135,000 Btu/hour and ARI 340/360 if above 135,000 BTU/Hour.  If equipment is larger than the ARI Standard certification process, it must be listed as standard combination in manufacturer's literature.</t>
    </r>
  </si>
  <si>
    <t>Efficiency
Bonus*
($/FLV)</t>
  </si>
  <si>
    <t>Efficiency
Bonus*
($/IPLV)</t>
  </si>
  <si>
    <r>
      <t xml:space="preserve">FLV Bonus Rebate* $/Ton </t>
    </r>
    <r>
      <rPr>
        <i/>
        <sz val="8"/>
        <rFont val="Arial"/>
        <family val="2"/>
      </rPr>
      <t>(Table 3)</t>
    </r>
  </si>
  <si>
    <r>
      <t xml:space="preserve">IPLV Bonus Rebate* $/Ton </t>
    </r>
    <r>
      <rPr>
        <i/>
        <sz val="8"/>
        <rFont val="Arial"/>
        <family val="2"/>
      </rPr>
      <t>(Table 3)</t>
    </r>
  </si>
  <si>
    <t>V</t>
  </si>
  <si>
    <t>C1 - 14</t>
  </si>
  <si>
    <t>C2 - 14</t>
  </si>
  <si>
    <t>C3 - 14</t>
  </si>
  <si>
    <t>C4 - 14</t>
  </si>
  <si>
    <t>C5 - 14</t>
  </si>
  <si>
    <t>C6 - 14</t>
  </si>
  <si>
    <r>
      <t xml:space="preserve">Eligible
FLV Efficiency
Bonus
</t>
    </r>
    <r>
      <rPr>
        <sz val="8"/>
        <rFont val="Arial"/>
        <family val="2"/>
      </rPr>
      <t>(I - J)</t>
    </r>
  </si>
  <si>
    <r>
      <t xml:space="preserve">Eligible
IPLV Efficiency
Bonus
</t>
    </r>
    <r>
      <rPr>
        <sz val="8"/>
        <rFont val="Arial"/>
        <family val="2"/>
      </rPr>
      <t>(K - L)</t>
    </r>
  </si>
  <si>
    <t>W</t>
  </si>
  <si>
    <r>
      <t>Total
Rebate</t>
    </r>
    <r>
      <rPr>
        <i/>
        <sz val="8"/>
        <rFont val="Arial"/>
        <family val="2"/>
      </rPr>
      <t xml:space="preserve">
</t>
    </r>
    <r>
      <rPr>
        <sz val="8"/>
        <rFont val="Arial"/>
        <family val="2"/>
      </rPr>
      <t>(Q + V)</t>
    </r>
  </si>
  <si>
    <t>Cost Difference Between Standard and High Eff. Equipment</t>
  </si>
  <si>
    <t>C7 - 14</t>
  </si>
  <si>
    <t>Efficiency
Bonus Rebate*
($/FLV)</t>
  </si>
  <si>
    <t>UT1-14</t>
  </si>
  <si>
    <t>UT2-14</t>
  </si>
  <si>
    <t>UT3-14</t>
  </si>
  <si>
    <t>UT4-14</t>
  </si>
  <si>
    <t>UT5-14</t>
  </si>
  <si>
    <t xml:space="preserve"> Min. Full-Load
 Efficiency
(kW per Ton)</t>
  </si>
  <si>
    <t>Min. IPLV
Efficiency
(kW per Ton)</t>
  </si>
  <si>
    <r>
      <t xml:space="preserve">Min.
Full
Load
Eff.
</t>
    </r>
    <r>
      <rPr>
        <i/>
        <sz val="8"/>
        <rFont val="Arial"/>
        <family val="2"/>
      </rPr>
      <t>(Table 3)</t>
    </r>
  </si>
  <si>
    <r>
      <t xml:space="preserve">Min. 
IPLV
Eff.
</t>
    </r>
    <r>
      <rPr>
        <i/>
        <sz val="8"/>
        <rFont val="Arial"/>
        <family val="2"/>
      </rPr>
      <t>(Table 3)</t>
    </r>
  </si>
  <si>
    <t>Cost Difference Between Standard and High Eff Equipment</t>
  </si>
  <si>
    <r>
      <t xml:space="preserve">Eligible FLV
Efficiency
Bonus
</t>
    </r>
    <r>
      <rPr>
        <sz val="8"/>
        <rFont val="Arial"/>
        <family val="2"/>
      </rPr>
      <t>(J-I)</t>
    </r>
  </si>
  <si>
    <r>
      <t xml:space="preserve">FLV Bonus
Rebate*
$/Ton
</t>
    </r>
    <r>
      <rPr>
        <i/>
        <sz val="8"/>
        <rFont val="Arial"/>
        <family val="2"/>
      </rPr>
      <t>(Table 3)</t>
    </r>
  </si>
  <si>
    <r>
      <t xml:space="preserve">Eligible IPLV
Efficiency
Bonus
</t>
    </r>
    <r>
      <rPr>
        <sz val="8"/>
        <rFont val="Arial"/>
        <family val="2"/>
      </rPr>
      <t>(L-K)</t>
    </r>
  </si>
  <si>
    <r>
      <t xml:space="preserve">IPLV Bonus
Rebate*
$/Ton
</t>
    </r>
    <r>
      <rPr>
        <i/>
        <sz val="8"/>
        <rFont val="Arial"/>
        <family val="2"/>
      </rPr>
      <t>(Table 3)</t>
    </r>
  </si>
  <si>
    <r>
      <t xml:space="preserve">Total Bonus Rebate
</t>
    </r>
    <r>
      <rPr>
        <sz val="8"/>
        <rFont val="Arial"/>
        <family val="2"/>
      </rPr>
      <t>(R x S) + (T x U) x (H x M) x10</t>
    </r>
  </si>
  <si>
    <r>
      <t xml:space="preserve">Total Bonus Rebate 
</t>
    </r>
    <r>
      <rPr>
        <sz val="8"/>
        <rFont val="Arial"/>
        <family val="2"/>
      </rPr>
      <t>(R x S) + (T x U) x (H x M) x100</t>
    </r>
  </si>
  <si>
    <t>13 SEER</t>
  </si>
  <si>
    <t>11.0 EER</t>
  </si>
  <si>
    <t>10.8 EER</t>
  </si>
  <si>
    <t>9.8 EER</t>
  </si>
  <si>
    <t>Cost Difference Between Standard and High Eff. Equip.</t>
  </si>
  <si>
    <t>= ( Capacity )  x  [( FLV_base  -  FLV_EE )]  x CF</t>
  </si>
  <si>
    <t>= ( Capacity )  x  [ FLV_base  -  FLV_ee ] x CF</t>
  </si>
  <si>
    <t>PTAC1-NC-15</t>
  </si>
  <si>
    <t>PTAC2-NC-15</t>
  </si>
  <si>
    <t>PTAC3-NC-15</t>
  </si>
  <si>
    <t>PTAC1-R-15</t>
  </si>
  <si>
    <t>PTAC2-R-15</t>
  </si>
  <si>
    <t>PTAC3-R-15</t>
  </si>
  <si>
    <t>PTHP1-NC-15</t>
  </si>
  <si>
    <t>PTHP2-NC-15</t>
  </si>
  <si>
    <t>PTHP3-NC-15</t>
  </si>
  <si>
    <t>PTHP2-R-15</t>
  </si>
  <si>
    <t>PTHP3-R-15</t>
  </si>
  <si>
    <t>PTHP1-R-15</t>
  </si>
  <si>
    <t>Packaged Terminal AC Units (new construction 7,000-15,000 BTU/hour)</t>
  </si>
  <si>
    <t>Packaged Terminal AC Units (new construction &lt;7,000 BTU/Hour)</t>
  </si>
  <si>
    <t>Packaged Terminal AC Units (new construction &gt; 15,000 BTU/hour)</t>
  </si>
  <si>
    <t>Packaged Terminal AC Units (replacement  &lt;7,000 BTU/Hour)</t>
  </si>
  <si>
    <t>Packaged Terminal AC Units (replacement 7,000-15,000 BTU/hour)</t>
  </si>
  <si>
    <t>Packaged Terminal AC Units (replacement &gt; 15,000 BTU/hour)</t>
  </si>
  <si>
    <t>Packaged Terminal Heat Pump Units (new construction &lt; 7,000 BTU/hour)</t>
  </si>
  <si>
    <t>Packaged Terminal Heat Pump Units (new construction 7,000-15,000 BTU/hour)</t>
  </si>
  <si>
    <t>Packaged Terminal Heat Pump Units (new construction &gt; 15,000 BTU/hour)</t>
  </si>
  <si>
    <t>Packaged Terminal Heat Pump Units (replacement &lt; 7,000 BTU/hour)</t>
  </si>
  <si>
    <t>Packaged Terminal Heat Pump Units (replacement 7,000-15,000 BTU/hour)</t>
  </si>
  <si>
    <t>Packaged Terminal Heat Pump Units (replacement &gt; 15,000 BTU/hour)</t>
  </si>
  <si>
    <t>13.8 - (0.3 x capacity/1000) EER</t>
  </si>
  <si>
    <t>DRL</t>
  </si>
  <si>
    <t>Updated Packaged/Rooftop with new codes, efficiences, and lowered the rebate amount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</si>
</sst>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_(* #,##0.000_);_(* \(#,##0.000\);_(* &quot;-&quot;??_);_(@_)"/>
    <numFmt numFmtId="166" formatCode="_(* #,##0.0_);_(* \(#,##0.0\);_(* &quot;-&quot;??_);_(@_)"/>
    <numFmt numFmtId="167" formatCode="_(* #,##0_);_(* \(#,##0\);_(* &quot;-&quot;??_);_(@_)"/>
    <numFmt numFmtId="168" formatCode="0.0"/>
    <numFmt numFmtId="169" formatCode="_(&quot;$&quot;* #,##0.0000_);_(&quot;$&quot;* \(#,##0.0000\);_(&quot;$&quot;* &quot;-&quot;??_);_(@_)"/>
    <numFmt numFmtId="170" formatCode="_(&quot;$&quot;* #,##0.000_);_(&quot;$&quot;* \(#,##0.000\);_(&quot;$&quot;* &quot;-&quot;??_);_(@_)"/>
    <numFmt numFmtId="171" formatCode="#,##0.000"/>
    <numFmt numFmtId="172" formatCode="&quot;$&quot;#,##0.00"/>
    <numFmt numFmtId="173" formatCode="0.0%"/>
    <numFmt numFmtId="174" formatCode="&quot;$&quot;#,##0"/>
    <numFmt numFmtId="175" formatCode="&quot;$&quot;#,##0.000"/>
    <numFmt numFmtId="176" formatCode="#,##0.0"/>
    <numFmt numFmtId="177" formatCode="_(&quot;$&quot;* #,##0_);_(&quot;$&quot;* \(#,##0\);_(&quot;$&quot;* &quot;-&quot;??_);_(@_)"/>
    <numFmt numFmtId="178" formatCode="0.000"/>
    <numFmt numFmtId="179" formatCode="\(###\)\ ###\-####"/>
    <numFmt numFmtId="180" formatCode="&quot;Yes&quot;;&quot;Yes&quot;;&quot;No&quot;"/>
    <numFmt numFmtId="181" formatCode="&quot;True&quot;;&quot;True&quot;;&quot;False&quot;"/>
    <numFmt numFmtId="182" formatCode="&quot;On&quot;;&quot;On&quot;;&quot;Off&quot;"/>
    <numFmt numFmtId="183" formatCode="[$€-2]\ #,##0.00_);[Red]\([$€-2]\ #,##0.00\)"/>
    <numFmt numFmtId="184" formatCode="[$-409]dddd\,\ mmmm\ dd\,\ yyyy"/>
    <numFmt numFmtId="185" formatCode="[$-409]h:mm:ss\ AM/PM"/>
  </numFmts>
  <fonts count="93">
    <font>
      <sz val="10"/>
      <name val="Arial"/>
      <family val="0"/>
    </font>
    <font>
      <sz val="11"/>
      <color indexed="8"/>
      <name val="Calibri"/>
      <family val="2"/>
    </font>
    <font>
      <sz val="10"/>
      <name val="Arial Black"/>
      <family val="2"/>
    </font>
    <font>
      <sz val="8"/>
      <name val="Arial"/>
      <family val="2"/>
    </font>
    <font>
      <b/>
      <sz val="10"/>
      <name val="Arial"/>
      <family val="2"/>
    </font>
    <font>
      <u val="single"/>
      <sz val="10"/>
      <color indexed="12"/>
      <name val="Arial"/>
      <family val="2"/>
    </font>
    <font>
      <b/>
      <sz val="8"/>
      <name val="Arial"/>
      <family val="2"/>
    </font>
    <font>
      <b/>
      <sz val="16"/>
      <name val="Arial"/>
      <family val="2"/>
    </font>
    <font>
      <sz val="12"/>
      <name val="Arial"/>
      <family val="2"/>
    </font>
    <font>
      <b/>
      <sz val="12"/>
      <name val="Arial"/>
      <family val="2"/>
    </font>
    <font>
      <i/>
      <sz val="8"/>
      <name val="Arial"/>
      <family val="2"/>
    </font>
    <font>
      <b/>
      <sz val="11"/>
      <color indexed="8"/>
      <name val="Calibri"/>
      <family val="2"/>
    </font>
    <font>
      <sz val="8"/>
      <color indexed="8"/>
      <name val="Arial"/>
      <family val="2"/>
    </font>
    <font>
      <b/>
      <sz val="8"/>
      <name val="Tahoma"/>
      <family val="2"/>
    </font>
    <font>
      <sz val="8"/>
      <name val="Tahoma"/>
      <family val="2"/>
    </font>
    <font>
      <sz val="8"/>
      <color indexed="8"/>
      <name val="Calibri"/>
      <family val="2"/>
    </font>
    <font>
      <b/>
      <sz val="8"/>
      <color indexed="9"/>
      <name val="Arial"/>
      <family val="2"/>
    </font>
    <font>
      <b/>
      <sz val="16"/>
      <color indexed="8"/>
      <name val="Calibri"/>
      <family val="2"/>
    </font>
    <font>
      <sz val="12"/>
      <color indexed="8"/>
      <name val="Calibri"/>
      <family val="2"/>
    </font>
    <font>
      <u val="single"/>
      <sz val="12"/>
      <color indexed="8"/>
      <name val="Calibri"/>
      <family val="2"/>
    </font>
    <font>
      <sz val="9"/>
      <color indexed="8"/>
      <name val="Calibri"/>
      <family val="2"/>
    </font>
    <font>
      <u val="single"/>
      <sz val="9"/>
      <color indexed="8"/>
      <name val="Calibri"/>
      <family val="2"/>
    </font>
    <font>
      <b/>
      <u val="single"/>
      <sz val="10"/>
      <name val="Arial"/>
      <family val="2"/>
    </font>
    <font>
      <sz val="8"/>
      <color indexed="9"/>
      <name val="Arial"/>
      <family val="2"/>
    </font>
    <font>
      <sz val="8"/>
      <name val="MS Sans Serif"/>
      <family val="2"/>
    </font>
    <font>
      <i/>
      <sz val="8"/>
      <name val="MS Sans Serif"/>
      <family val="2"/>
    </font>
    <font>
      <sz val="11"/>
      <name val="Arial"/>
      <family val="2"/>
    </font>
    <font>
      <b/>
      <sz val="11"/>
      <name val="Arial"/>
      <family val="2"/>
    </font>
    <font>
      <b/>
      <sz val="11"/>
      <color indexed="18"/>
      <name val="Arial"/>
      <family val="2"/>
    </font>
    <font>
      <b/>
      <sz val="8"/>
      <color indexed="18"/>
      <name val="Arial"/>
      <family val="2"/>
    </font>
    <font>
      <sz val="10"/>
      <color indexed="9"/>
      <name val="Arial"/>
      <family val="2"/>
    </font>
    <font>
      <sz val="11"/>
      <name val="Calibri"/>
      <family val="2"/>
    </font>
    <font>
      <b/>
      <i/>
      <sz val="8"/>
      <name val="Arial"/>
      <family val="2"/>
    </font>
    <font>
      <b/>
      <i/>
      <sz val="10"/>
      <name val="Arial"/>
      <family val="2"/>
    </font>
    <font>
      <b/>
      <i/>
      <sz val="10"/>
      <color indexed="8"/>
      <name val="Arial"/>
      <family val="2"/>
    </font>
    <font>
      <sz val="12"/>
      <name val="Arial Black"/>
      <family val="2"/>
    </font>
    <font>
      <u val="single"/>
      <sz val="8"/>
      <name val="Arial"/>
      <family val="2"/>
    </font>
    <font>
      <sz val="9"/>
      <name val="Arial"/>
      <family val="2"/>
    </font>
    <font>
      <b/>
      <sz val="9"/>
      <name val="Arial"/>
      <family val="2"/>
    </font>
    <font>
      <b/>
      <sz val="10"/>
      <name val="Arial Black"/>
      <family val="2"/>
    </font>
    <font>
      <u val="single"/>
      <sz val="10"/>
      <name val="Arial"/>
      <family val="2"/>
    </font>
    <font>
      <b/>
      <sz val="8"/>
      <color indexed="8"/>
      <name val="Arial"/>
      <family val="0"/>
    </font>
    <font>
      <sz val="15.7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0"/>
      <color indexed="20"/>
      <name val="Arial"/>
      <family val="0"/>
    </font>
    <font>
      <u val="single"/>
      <sz val="11"/>
      <color indexed="8"/>
      <name val="Calibri"/>
      <family val="0"/>
    </font>
    <font>
      <sz val="14"/>
      <color indexed="8"/>
      <name val="Arial Black"/>
      <family val="0"/>
    </font>
    <font>
      <sz val="10"/>
      <color indexed="8"/>
      <name val="Arial Black"/>
      <family val="0"/>
    </font>
    <font>
      <b/>
      <sz val="10"/>
      <color indexed="8"/>
      <name val="Arial"/>
      <family val="0"/>
    </font>
    <font>
      <sz val="7"/>
      <color indexed="8"/>
      <name val="Arial"/>
      <family val="0"/>
    </font>
    <font>
      <b/>
      <sz val="11"/>
      <color indexed="8"/>
      <name val="Arial"/>
      <family val="0"/>
    </font>
    <font>
      <b/>
      <sz val="9"/>
      <color indexed="8"/>
      <name val="Arial"/>
      <family val="0"/>
    </font>
    <font>
      <sz val="9"/>
      <color indexed="8"/>
      <name val="Arial"/>
      <family val="0"/>
    </font>
    <font>
      <sz val="14"/>
      <color indexed="8"/>
      <name val="Arial"/>
      <family val="0"/>
    </font>
    <font>
      <b/>
      <sz val="10"/>
      <color indexed="8"/>
      <name val="Calibri"/>
      <family val="0"/>
    </font>
    <font>
      <b/>
      <sz val="8.75"/>
      <color indexed="8"/>
      <name val="Arial"/>
      <family val="0"/>
    </font>
    <font>
      <u val="single"/>
      <sz val="8"/>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4"/>
        <bgColor indexed="64"/>
      </patternFill>
    </fill>
    <fill>
      <patternFill patternType="solid">
        <fgColor indexed="47"/>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52"/>
        <bgColor indexed="64"/>
      </patternFill>
    </fill>
    <fill>
      <patternFill patternType="solid">
        <fgColor indexed="43"/>
        <bgColor indexed="64"/>
      </patternFill>
    </fill>
    <fill>
      <patternFill patternType="solid">
        <fgColor indexed="13"/>
        <bgColor indexed="64"/>
      </patternFill>
    </fill>
    <fill>
      <patternFill patternType="solid">
        <fgColor indexed="27"/>
        <bgColor indexed="64"/>
      </patternFill>
    </fill>
    <fill>
      <patternFill patternType="solid">
        <fgColor indexed="55"/>
        <bgColor indexed="64"/>
      </patternFill>
    </fill>
    <fill>
      <patternFill patternType="solid">
        <fgColor rgb="FFFFFF00"/>
        <bgColor indexed="64"/>
      </patternFill>
    </fill>
    <fill>
      <patternFill patternType="solid">
        <fgColor indexed="8"/>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tint="-0.24997000396251678"/>
        <bgColor indexed="64"/>
      </patternFill>
    </fill>
    <fill>
      <patternFill patternType="solid">
        <fgColor theme="0"/>
        <bgColor indexed="64"/>
      </patternFill>
    </fill>
  </fills>
  <borders count="1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top style="thin"/>
      <bottom style="thin"/>
    </border>
    <border>
      <left/>
      <right/>
      <top style="thin"/>
      <bottom style="thin"/>
    </border>
    <border>
      <left/>
      <right/>
      <top/>
      <bottom style="thin"/>
    </border>
    <border>
      <left/>
      <right/>
      <top/>
      <bottom style="thin">
        <color indexed="55"/>
      </bottom>
    </border>
    <border>
      <left/>
      <right/>
      <top style="thin">
        <color indexed="55"/>
      </top>
      <bottom style="thin">
        <color indexed="55"/>
      </bottom>
    </border>
    <border>
      <left/>
      <right/>
      <top/>
      <bottom style="medium"/>
    </border>
    <border>
      <left style="thin"/>
      <right style="thin"/>
      <top style="thin"/>
      <bottom/>
    </border>
    <border>
      <left style="medium"/>
      <right style="thin"/>
      <top style="medium"/>
      <bottom style="medium"/>
    </border>
    <border>
      <left style="medium"/>
      <right/>
      <top style="medium"/>
      <bottom style="medium"/>
    </border>
    <border>
      <left/>
      <right style="thin"/>
      <top style="medium"/>
      <bottom style="medium"/>
    </border>
    <border>
      <left/>
      <right/>
      <top style="medium"/>
      <bottom style="medium"/>
    </border>
    <border>
      <left style="medium"/>
      <right style="medium"/>
      <top style="medium"/>
      <bottom style="medium"/>
    </border>
    <border>
      <left style="thin"/>
      <right style="medium"/>
      <top style="medium"/>
      <bottom/>
    </border>
    <border>
      <left style="medium"/>
      <right style="thin"/>
      <top style="thin"/>
      <bottom style="thin"/>
    </border>
    <border>
      <left/>
      <right style="thin"/>
      <top style="thin"/>
      <bottom style="thin"/>
    </border>
    <border>
      <left style="thin"/>
      <right style="medium"/>
      <top style="thin"/>
      <bottom style="thin"/>
    </border>
    <border>
      <left style="medium"/>
      <right/>
      <top style="thin"/>
      <bottom style="thin"/>
    </border>
    <border>
      <left/>
      <right style="thin"/>
      <top/>
      <bottom/>
    </border>
    <border>
      <left style="thin"/>
      <right/>
      <top/>
      <bottom style="thin"/>
    </border>
    <border>
      <left style="medium"/>
      <right/>
      <top/>
      <bottom style="thin"/>
    </border>
    <border>
      <left style="thin"/>
      <right style="thin"/>
      <top/>
      <bottom style="thin"/>
    </border>
    <border>
      <left style="thin"/>
      <right style="medium"/>
      <top style="thin"/>
      <bottom/>
    </border>
    <border>
      <left style="medium"/>
      <right style="medium"/>
      <top/>
      <bottom style="medium"/>
    </border>
    <border>
      <left style="thin"/>
      <right style="medium"/>
      <top/>
      <bottom style="thin"/>
    </border>
    <border>
      <left/>
      <right style="medium"/>
      <top/>
      <bottom style="thin"/>
    </border>
    <border>
      <left/>
      <right/>
      <top style="thin"/>
      <bottom/>
    </border>
    <border>
      <left/>
      <right style="medium"/>
      <top style="thin"/>
      <botto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thin"/>
      <bottom style="medium"/>
    </border>
    <border>
      <left/>
      <right style="medium"/>
      <top style="medium"/>
      <bottom style="medium"/>
    </border>
    <border>
      <left style="medium"/>
      <right/>
      <top/>
      <bottom/>
    </border>
    <border>
      <left style="medium"/>
      <right/>
      <top/>
      <bottom style="medium"/>
    </border>
    <border>
      <left style="medium"/>
      <right style="medium"/>
      <top style="medium"/>
      <bottom/>
    </border>
    <border>
      <left/>
      <right style="medium"/>
      <top style="medium"/>
      <bottom/>
    </border>
    <border>
      <left style="medium"/>
      <right style="thin"/>
      <top style="medium"/>
      <bottom/>
    </border>
    <border>
      <left style="thin"/>
      <right style="thin"/>
      <top style="medium"/>
      <bottom/>
    </border>
    <border>
      <left/>
      <right style="thin"/>
      <top style="medium"/>
      <bottom/>
    </border>
    <border>
      <left style="medium"/>
      <right style="thin"/>
      <top/>
      <bottom style="thin"/>
    </border>
    <border>
      <left/>
      <right style="thin"/>
      <top/>
      <bottom style="thin"/>
    </border>
    <border>
      <left style="thin"/>
      <right style="thin"/>
      <top style="medium"/>
      <bottom style="medium"/>
    </border>
    <border>
      <left style="thin"/>
      <right style="medium"/>
      <top style="medium"/>
      <bottom style="medium"/>
    </border>
    <border>
      <left style="medium"/>
      <right style="thin"/>
      <top/>
      <bottom style="medium"/>
    </border>
    <border>
      <left style="thin"/>
      <right style="thin"/>
      <top/>
      <bottom style="medium"/>
    </border>
    <border>
      <left style="thin"/>
      <right style="medium"/>
      <top/>
      <bottom style="medium"/>
    </border>
    <border>
      <left style="medium"/>
      <right/>
      <top style="thin"/>
      <bottom/>
    </border>
    <border>
      <left/>
      <right style="medium"/>
      <top/>
      <bottom style="medium"/>
    </border>
    <border>
      <left/>
      <right style="medium"/>
      <top style="thin"/>
      <bottom style="thin"/>
    </border>
    <border>
      <left/>
      <right style="medium"/>
      <top/>
      <bottom/>
    </border>
    <border>
      <left style="medium"/>
      <right style="thin"/>
      <top style="thin"/>
      <bottom>
        <color indexed="63"/>
      </bottom>
    </border>
    <border>
      <left style="thin"/>
      <right/>
      <top style="thin"/>
      <bottom>
        <color indexed="63"/>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color theme="1"/>
      </left>
      <right style="medium"/>
      <top/>
      <bottom style="thin"/>
    </border>
    <border>
      <left/>
      <right style="thin"/>
      <top style="thin"/>
      <bottom style="medium">
        <color theme="1"/>
      </bottom>
    </border>
    <border>
      <left style="medium">
        <color theme="1"/>
      </left>
      <right style="medium"/>
      <top>
        <color indexed="63"/>
      </top>
      <bottom style="medium"/>
    </border>
    <border>
      <left/>
      <right style="thin"/>
      <top>
        <color indexed="63"/>
      </top>
      <bottom style="medium"/>
    </border>
    <border>
      <left style="medium"/>
      <right style="medium">
        <color theme="1"/>
      </right>
      <top>
        <color indexed="63"/>
      </top>
      <bottom style="medium"/>
    </border>
    <border>
      <left style="medium"/>
      <right style="medium">
        <color theme="1"/>
      </right>
      <top style="medium"/>
      <bottom style="thin"/>
    </border>
    <border>
      <left style="medium"/>
      <right style="medium">
        <color theme="1"/>
      </right>
      <top style="thin"/>
      <bottom style="thin"/>
    </border>
    <border>
      <left style="medium"/>
      <right style="medium">
        <color theme="1"/>
      </right>
      <top style="thin"/>
      <bottom style="medium">
        <color theme="1"/>
      </bottom>
    </border>
    <border>
      <left style="medium">
        <color theme="1"/>
      </left>
      <right style="medium"/>
      <top/>
      <bottom style="medium">
        <color theme="1"/>
      </bottom>
    </border>
    <border>
      <left style="medium">
        <color theme="1"/>
      </left>
      <right/>
      <top style="medium"/>
      <bottom style="medium"/>
    </border>
    <border>
      <left style="medium">
        <color theme="1"/>
      </left>
      <right style="thin"/>
      <top/>
      <bottom style="medium">
        <color theme="1"/>
      </bottom>
    </border>
    <border>
      <left style="thin"/>
      <right style="thin"/>
      <top/>
      <bottom style="medium">
        <color theme="1"/>
      </bottom>
    </border>
    <border>
      <left style="medium"/>
      <right style="medium">
        <color theme="1"/>
      </right>
      <top style="medium"/>
      <bottom style="medium"/>
    </border>
    <border>
      <left style="medium"/>
      <right style="medium">
        <color theme="1"/>
      </right>
      <top style="medium"/>
      <bottom style="medium">
        <color theme="1"/>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color theme="1"/>
      </left>
      <right/>
      <top style="medium">
        <color theme="1"/>
      </top>
      <bottom style="medium"/>
    </border>
    <border>
      <left/>
      <right/>
      <top style="medium">
        <color theme="1"/>
      </top>
      <bottom style="medium"/>
    </border>
    <border>
      <left>
        <color indexed="63"/>
      </left>
      <right>
        <color indexed="63"/>
      </right>
      <top style="medium">
        <color theme="1"/>
      </top>
      <bottom>
        <color indexed="63"/>
      </bottom>
    </border>
    <border>
      <left/>
      <right style="medium">
        <color theme="1"/>
      </right>
      <top style="medium">
        <color theme="1"/>
      </top>
      <bottom style="medium"/>
    </border>
    <border>
      <left>
        <color indexed="63"/>
      </left>
      <right style="thin"/>
      <top style="thin"/>
      <bottom>
        <color indexed="63"/>
      </bottom>
    </border>
    <border>
      <left>
        <color indexed="63"/>
      </left>
      <right style="thin"/>
      <top style="medium"/>
      <bottom style="thin"/>
    </border>
    <border>
      <left/>
      <right style="thin"/>
      <top style="thin"/>
      <bottom style="medium"/>
    </border>
    <border>
      <left style="medium"/>
      <right style="medium"/>
      <top/>
      <bottom style="thin"/>
    </border>
    <border>
      <left style="medium"/>
      <right style="medium"/>
      <top style="thin"/>
      <bottom style="thin"/>
    </border>
    <border>
      <left style="medium"/>
      <right style="medium"/>
      <top style="thin"/>
      <bottom/>
    </border>
    <border>
      <left style="medium"/>
      <right style="medium"/>
      <top style="thin">
        <color theme="1"/>
      </top>
      <bottom style="thin">
        <color theme="1"/>
      </bottom>
    </border>
    <border>
      <left style="medium"/>
      <right style="medium"/>
      <top/>
      <bottom>
        <color indexed="63"/>
      </bottom>
    </border>
    <border>
      <left style="medium"/>
      <right style="medium"/>
      <top style="medium"/>
      <bottom style="thin">
        <color theme="1"/>
      </bottom>
    </border>
    <border>
      <left/>
      <right/>
      <top style="thin"/>
      <bottom style="medium"/>
    </border>
    <border>
      <left/>
      <right style="medium"/>
      <top style="thin"/>
      <bottom style="medium"/>
    </border>
    <border>
      <left style="medium"/>
      <right/>
      <top style="thin"/>
      <bottom style="medium"/>
    </border>
    <border>
      <left style="medium"/>
      <right style="medium"/>
      <top style="medium"/>
      <bottom style="thin"/>
    </border>
    <border>
      <left style="medium"/>
      <right style="medium"/>
      <top style="thin"/>
      <bottom style="medium"/>
    </border>
    <border>
      <left style="medium">
        <color theme="1"/>
      </left>
      <right style="thin">
        <color theme="1"/>
      </right>
      <top>
        <color indexed="63"/>
      </top>
      <bottom style="thin">
        <color theme="1"/>
      </bottom>
    </border>
    <border>
      <left style="thin">
        <color theme="1"/>
      </left>
      <right>
        <color indexed="63"/>
      </right>
      <top>
        <color indexed="63"/>
      </top>
      <bottom style="thin">
        <color theme="1"/>
      </bottom>
    </border>
    <border>
      <left style="medium">
        <color theme="1"/>
      </left>
      <right style="thin">
        <color theme="1"/>
      </right>
      <top style="thin">
        <color theme="1"/>
      </top>
      <bottom style="thin">
        <color theme="1"/>
      </bottom>
    </border>
    <border>
      <left style="thin">
        <color theme="1"/>
      </left>
      <right>
        <color indexed="63"/>
      </right>
      <top style="thin">
        <color theme="1"/>
      </top>
      <bottom style="thin">
        <color theme="1"/>
      </bottom>
    </border>
    <border>
      <left style="medium">
        <color theme="1"/>
      </left>
      <right style="thin">
        <color theme="1"/>
      </right>
      <top style="thin">
        <color theme="1"/>
      </top>
      <bottom style="medium"/>
    </border>
    <border>
      <left style="thin">
        <color theme="1"/>
      </left>
      <right>
        <color indexed="63"/>
      </right>
      <top style="thin">
        <color theme="1"/>
      </top>
      <bottom style="medium"/>
    </border>
    <border>
      <left style="medium">
        <color theme="1"/>
      </left>
      <right style="thin">
        <color theme="1"/>
      </right>
      <top style="thin"/>
      <bottom style="thin">
        <color theme="1"/>
      </bottom>
    </border>
    <border>
      <left style="thin">
        <color theme="1"/>
      </left>
      <right>
        <color indexed="63"/>
      </right>
      <top style="thin"/>
      <bottom style="thin">
        <color theme="1"/>
      </bottom>
    </border>
    <border>
      <left style="medium">
        <color theme="1"/>
      </left>
      <right style="thin">
        <color theme="1"/>
      </right>
      <top style="medium"/>
      <bottom style="thin">
        <color theme="1"/>
      </bottom>
    </border>
    <border>
      <left style="thin">
        <color theme="1"/>
      </left>
      <right>
        <color indexed="63"/>
      </right>
      <top style="medium"/>
      <bottom style="thin">
        <color theme="1"/>
      </bottom>
    </border>
    <border>
      <left style="medium">
        <color theme="1"/>
      </left>
      <right style="thin">
        <color theme="1"/>
      </right>
      <top style="thin">
        <color theme="1"/>
      </top>
      <bottom style="thin"/>
    </border>
    <border>
      <left style="thin">
        <color theme="1"/>
      </left>
      <right>
        <color indexed="63"/>
      </right>
      <top style="thin">
        <color theme="1"/>
      </top>
      <bottom style="thin"/>
    </border>
    <border>
      <left style="thin">
        <color theme="1"/>
      </left>
      <right style="medium">
        <color theme="1"/>
      </right>
      <top style="thin">
        <color theme="1"/>
      </top>
      <bottom style="thin">
        <color theme="1"/>
      </bottom>
    </border>
    <border>
      <left style="medium">
        <color theme="1"/>
      </left>
      <right/>
      <top style="medium">
        <color theme="1"/>
      </top>
      <bottom/>
    </border>
    <border>
      <left>
        <color indexed="63"/>
      </left>
      <right style="medium">
        <color theme="1"/>
      </right>
      <top style="medium">
        <color theme="1"/>
      </top>
      <bottom>
        <color indexed="63"/>
      </bottom>
    </border>
    <border>
      <left style="medium">
        <color theme="1"/>
      </left>
      <right style="thin">
        <color theme="1"/>
      </right>
      <top style="medium">
        <color theme="1"/>
      </top>
      <bottom style="thin">
        <color theme="1"/>
      </bottom>
    </border>
    <border>
      <left style="thin">
        <color theme="1"/>
      </left>
      <right style="medium">
        <color theme="1"/>
      </right>
      <top style="medium">
        <color theme="1"/>
      </top>
      <bottom style="thin">
        <color theme="1"/>
      </bottom>
    </border>
    <border>
      <left style="thin"/>
      <right style="medium">
        <color theme="1"/>
      </right>
      <top style="medium"/>
      <bottom style="medium"/>
    </border>
    <border>
      <left style="medium">
        <color theme="1"/>
      </left>
      <right style="thin">
        <color theme="1"/>
      </right>
      <top style="thin">
        <color theme="1"/>
      </top>
      <bottom>
        <color indexed="63"/>
      </bottom>
    </border>
    <border>
      <left style="thin">
        <color theme="1"/>
      </left>
      <right>
        <color indexed="63"/>
      </right>
      <top style="thin">
        <color theme="1"/>
      </top>
      <bottom>
        <color indexed="63"/>
      </bottom>
    </border>
    <border>
      <left style="thin">
        <color theme="1"/>
      </left>
      <right style="medium">
        <color theme="1"/>
      </right>
      <top style="thin">
        <color theme="1"/>
      </top>
      <bottom>
        <color indexed="63"/>
      </bottom>
    </border>
    <border>
      <left style="thin"/>
      <right/>
      <top style="medium"/>
      <bottom style="medium"/>
    </border>
    <border>
      <left style="thin"/>
      <right style="medium">
        <color theme="1"/>
      </right>
      <top/>
      <bottom style="thin"/>
    </border>
    <border>
      <left style="thin"/>
      <right style="medium">
        <color theme="1"/>
      </right>
      <top style="thin"/>
      <bottom style="thin"/>
    </border>
    <border>
      <left style="thin"/>
      <right style="medium">
        <color theme="1"/>
      </right>
      <top style="thin"/>
      <bottom>
        <color indexed="63"/>
      </bottom>
    </border>
    <border>
      <left style="medium">
        <color theme="1"/>
      </left>
      <right/>
      <top style="medium">
        <color theme="1"/>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
      <left style="medium">
        <color theme="1"/>
      </left>
      <right style="thin"/>
      <top style="thin"/>
      <bottom style="thin"/>
    </border>
    <border>
      <left style="medium">
        <color theme="1"/>
      </left>
      <right/>
      <top style="thin"/>
      <bottom style="thin"/>
    </border>
    <border>
      <left style="thin"/>
      <right/>
      <top style="thin"/>
      <bottom style="medium">
        <color theme="1"/>
      </bottom>
    </border>
    <border>
      <left/>
      <right style="medium">
        <color theme="1"/>
      </right>
      <top style="thin"/>
      <bottom style="medium">
        <color theme="1"/>
      </bottom>
    </border>
    <border>
      <left/>
      <right style="medium">
        <color theme="1"/>
      </right>
      <top style="thin"/>
      <bottom style="thin"/>
    </border>
    <border>
      <left style="medium">
        <color theme="1"/>
      </left>
      <right/>
      <top/>
      <bottom style="medium">
        <color theme="1"/>
      </bottom>
    </border>
    <border>
      <left/>
      <right style="medium">
        <color theme="1"/>
      </right>
      <top>
        <color indexed="63"/>
      </top>
      <bottom style="medium">
        <color theme="1"/>
      </bottom>
    </border>
    <border>
      <left style="medium">
        <color theme="1"/>
      </left>
      <right/>
      <top style="thin"/>
      <bottom style="medium">
        <color theme="1"/>
      </bottom>
    </border>
    <border>
      <left/>
      <right/>
      <top style="thin"/>
      <bottom style="medium">
        <color theme="1"/>
      </bottom>
    </border>
    <border>
      <left style="medium"/>
      <right/>
      <top style="thin"/>
      <bottom style="medium">
        <color theme="1"/>
      </bottom>
    </border>
    <border>
      <left/>
      <right style="medium"/>
      <top style="thin"/>
      <bottom style="medium">
        <color theme="1"/>
      </bottom>
    </border>
    <border>
      <left style="medium">
        <color theme="1"/>
      </left>
      <right style="thin"/>
      <top style="medium">
        <color theme="1"/>
      </top>
      <bottom style="thin"/>
    </border>
    <border>
      <left style="thin"/>
      <right style="thin"/>
      <top style="medium">
        <color theme="1"/>
      </top>
      <bottom style="thin"/>
    </border>
    <border>
      <left style="thin"/>
      <right style="medium">
        <color theme="1"/>
      </right>
      <top style="medium">
        <color theme="1"/>
      </top>
      <bottom style="thin"/>
    </border>
    <border>
      <left style="thin"/>
      <right/>
      <top>
        <color indexed="63"/>
      </top>
      <bottom style="medium"/>
    </border>
    <border>
      <left style="medium"/>
      <right style="thin"/>
      <top style="thin"/>
      <bottom style="medium">
        <color theme="1"/>
      </bottom>
    </border>
    <border>
      <left style="thin"/>
      <right style="thin"/>
      <top style="thin"/>
      <bottom style="medium">
        <color theme="1"/>
      </bottom>
    </border>
    <border>
      <left style="thin"/>
      <right style="medium"/>
      <top style="thin"/>
      <bottom style="medium">
        <color theme="1"/>
      </bottom>
    </border>
    <border>
      <left/>
      <right style="medium">
        <color theme="1"/>
      </right>
      <top/>
      <bottom/>
    </border>
    <border>
      <left style="thin"/>
      <right style="medium"/>
      <top/>
      <bottom style="medium">
        <color theme="1"/>
      </bottom>
    </border>
    <border>
      <left style="medium"/>
      <right/>
      <top style="medium"/>
      <bottom/>
    </border>
    <border>
      <left/>
      <right/>
      <top style="medium"/>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0" fillId="29" borderId="0" applyNumberFormat="0" applyAlignment="0">
      <protection/>
    </xf>
    <xf numFmtId="0" fontId="0" fillId="30" borderId="0" applyNumberFormat="0" applyAlignment="0">
      <protection/>
    </xf>
    <xf numFmtId="0" fontId="78" fillId="0" borderId="0" applyNumberFormat="0" applyFill="0" applyBorder="0" applyAlignment="0" applyProtection="0"/>
    <xf numFmtId="0" fontId="79" fillId="0" borderId="0" applyNumberFormat="0" applyFill="0" applyBorder="0" applyAlignment="0" applyProtection="0"/>
    <xf numFmtId="0" fontId="80" fillId="31"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5" fillId="32" borderId="1" applyNumberFormat="0" applyAlignment="0" applyProtection="0"/>
    <xf numFmtId="0" fontId="86" fillId="0" borderId="6" applyNumberFormat="0" applyFill="0" applyAlignment="0" applyProtection="0"/>
    <xf numFmtId="0" fontId="87" fillId="33" borderId="0" applyNumberFormat="0" applyBorder="0" applyAlignment="0" applyProtection="0"/>
    <xf numFmtId="0" fontId="73" fillId="0" borderId="0">
      <alignment/>
      <protection/>
    </xf>
    <xf numFmtId="0" fontId="0" fillId="0" borderId="0">
      <alignment/>
      <protection/>
    </xf>
    <xf numFmtId="0" fontId="0" fillId="34"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939">
    <xf numFmtId="0" fontId="0" fillId="0" borderId="0" xfId="0" applyAlignment="1">
      <alignment/>
    </xf>
    <xf numFmtId="0" fontId="0" fillId="0" borderId="0" xfId="0" applyBorder="1" applyAlignment="1">
      <alignment/>
    </xf>
    <xf numFmtId="0" fontId="0" fillId="0" borderId="0" xfId="0" applyFill="1" applyAlignment="1">
      <alignment/>
    </xf>
    <xf numFmtId="0" fontId="3" fillId="0" borderId="0" xfId="0" applyFont="1" applyAlignment="1">
      <alignment/>
    </xf>
    <xf numFmtId="0" fontId="7" fillId="0" borderId="0" xfId="0" applyFont="1" applyFill="1" applyAlignment="1">
      <alignment vertical="center"/>
    </xf>
    <xf numFmtId="0" fontId="0" fillId="0" borderId="10" xfId="0" applyBorder="1" applyAlignment="1">
      <alignment/>
    </xf>
    <xf numFmtId="0" fontId="0" fillId="0" borderId="10" xfId="0"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vertical="center"/>
    </xf>
    <xf numFmtId="0" fontId="9" fillId="0" borderId="0" xfId="0" applyFont="1" applyAlignment="1">
      <alignment horizontal="center" vertical="center"/>
    </xf>
    <xf numFmtId="6" fontId="3" fillId="0" borderId="11" xfId="0" applyNumberFormat="1" applyFont="1" applyBorder="1" applyAlignment="1">
      <alignment horizontal="center" vertical="center"/>
    </xf>
    <xf numFmtId="0" fontId="3" fillId="0" borderId="0" xfId="0" applyFont="1" applyAlignment="1">
      <alignment/>
    </xf>
    <xf numFmtId="0" fontId="3" fillId="0" borderId="0" xfId="0" applyFont="1" applyAlignment="1">
      <alignment vertical="top"/>
    </xf>
    <xf numFmtId="0" fontId="3" fillId="0" borderId="0" xfId="0" applyFont="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44" fontId="6" fillId="0" borderId="0" xfId="0" applyNumberFormat="1" applyFont="1" applyBorder="1" applyAlignment="1">
      <alignment horizontal="center" vertical="center"/>
    </xf>
    <xf numFmtId="0" fontId="6" fillId="0" borderId="0" xfId="0" applyFont="1" applyAlignment="1">
      <alignment horizontal="center" vertical="center"/>
    </xf>
    <xf numFmtId="0" fontId="3" fillId="0" borderId="0" xfId="0" applyFont="1" applyBorder="1" applyAlignment="1">
      <alignment/>
    </xf>
    <xf numFmtId="0" fontId="6" fillId="0" borderId="0" xfId="0" applyFont="1" applyAlignment="1">
      <alignment/>
    </xf>
    <xf numFmtId="49" fontId="0" fillId="0" borderId="0" xfId="0" applyNumberFormat="1" applyFill="1" applyBorder="1" applyAlignment="1">
      <alignment horizontal="left" vertical="center"/>
    </xf>
    <xf numFmtId="44" fontId="4" fillId="0" borderId="0" xfId="0" applyNumberFormat="1" applyFont="1" applyBorder="1" applyAlignment="1">
      <alignment vertical="center"/>
    </xf>
    <xf numFmtId="49" fontId="4" fillId="35" borderId="12" xfId="0" applyNumberFormat="1" applyFont="1" applyFill="1" applyBorder="1" applyAlignment="1" quotePrefix="1">
      <alignment horizontal="left" vertical="center"/>
    </xf>
    <xf numFmtId="0" fontId="0" fillId="35" borderId="13" xfId="0" applyFill="1" applyBorder="1" applyAlignment="1">
      <alignment/>
    </xf>
    <xf numFmtId="0" fontId="4" fillId="35" borderId="11" xfId="0" applyFont="1" applyFill="1" applyBorder="1" applyAlignment="1">
      <alignment horizontal="center" wrapText="1"/>
    </xf>
    <xf numFmtId="0" fontId="3" fillId="0" borderId="11" xfId="0" applyFont="1" applyBorder="1" applyAlignment="1">
      <alignment horizontal="center" vertical="center"/>
    </xf>
    <xf numFmtId="0" fontId="6" fillId="0" borderId="0" xfId="0" applyFont="1" applyAlignment="1" quotePrefix="1">
      <alignment horizontal="left"/>
    </xf>
    <xf numFmtId="0" fontId="6" fillId="0" borderId="0" xfId="0" applyFont="1" applyAlignment="1" quotePrefix="1">
      <alignment/>
    </xf>
    <xf numFmtId="0" fontId="4" fillId="0" borderId="0" xfId="0" applyFont="1" applyAlignment="1" quotePrefix="1">
      <alignment/>
    </xf>
    <xf numFmtId="0" fontId="2" fillId="0" borderId="0" xfId="0" applyFont="1" applyFill="1" applyAlignment="1">
      <alignment/>
    </xf>
    <xf numFmtId="0" fontId="2" fillId="0" borderId="0" xfId="0" applyFont="1" applyFill="1" applyAlignment="1">
      <alignment vertical="center"/>
    </xf>
    <xf numFmtId="0" fontId="0" fillId="0" borderId="0" xfId="0" applyAlignment="1">
      <alignment/>
    </xf>
    <xf numFmtId="0" fontId="6" fillId="0" borderId="0" xfId="0" applyFont="1" applyAlignment="1">
      <alignment/>
    </xf>
    <xf numFmtId="0" fontId="73" fillId="0" borderId="0" xfId="64">
      <alignment/>
      <protection/>
    </xf>
    <xf numFmtId="0" fontId="4" fillId="36" borderId="14" xfId="64" applyFont="1" applyFill="1" applyBorder="1" applyProtection="1">
      <alignment/>
      <protection locked="0"/>
    </xf>
    <xf numFmtId="0" fontId="3" fillId="0" borderId="0" xfId="64" applyFont="1">
      <alignment/>
      <protection/>
    </xf>
    <xf numFmtId="0" fontId="4" fillId="36" borderId="14" xfId="64" applyFont="1" applyFill="1" applyBorder="1" applyAlignment="1" applyProtection="1">
      <alignment horizontal="left"/>
      <protection locked="0"/>
    </xf>
    <xf numFmtId="0" fontId="4" fillId="36" borderId="14" xfId="64" applyFont="1" applyFill="1" applyBorder="1">
      <alignment/>
      <protection/>
    </xf>
    <xf numFmtId="0" fontId="73" fillId="0" borderId="0" xfId="64" applyBorder="1">
      <alignment/>
      <protection/>
    </xf>
    <xf numFmtId="0" fontId="3" fillId="0" borderId="0" xfId="64" applyFont="1" applyBorder="1">
      <alignment/>
      <protection/>
    </xf>
    <xf numFmtId="0" fontId="73" fillId="0" borderId="0" xfId="64" applyProtection="1">
      <alignment/>
      <protection/>
    </xf>
    <xf numFmtId="0" fontId="3" fillId="0" borderId="0" xfId="64" applyFont="1" applyAlignment="1" applyProtection="1">
      <alignment/>
      <protection/>
    </xf>
    <xf numFmtId="0" fontId="73" fillId="0" borderId="0" xfId="64" applyFill="1" applyBorder="1">
      <alignment/>
      <protection/>
    </xf>
    <xf numFmtId="0" fontId="12" fillId="0" borderId="0" xfId="64" applyFont="1">
      <alignment/>
      <protection/>
    </xf>
    <xf numFmtId="0" fontId="15" fillId="0" borderId="0" xfId="64" applyFont="1" applyAlignment="1">
      <alignment horizontal="center" vertical="top"/>
      <protection/>
    </xf>
    <xf numFmtId="0" fontId="73" fillId="0" borderId="0" xfId="64" applyFill="1">
      <alignment/>
      <protection/>
    </xf>
    <xf numFmtId="14" fontId="73" fillId="0" borderId="0" xfId="64" applyNumberFormat="1">
      <alignment/>
      <protection/>
    </xf>
    <xf numFmtId="0" fontId="73" fillId="0" borderId="0" xfId="64" applyAlignment="1">
      <alignment horizontal="center"/>
      <protection/>
    </xf>
    <xf numFmtId="0" fontId="73" fillId="0" borderId="0" xfId="64" applyAlignment="1">
      <alignment wrapText="1"/>
      <protection/>
    </xf>
    <xf numFmtId="0" fontId="16" fillId="0" borderId="0" xfId="64" applyFont="1" applyFill="1" applyAlignment="1">
      <alignment vertical="center"/>
      <protection/>
    </xf>
    <xf numFmtId="0" fontId="18" fillId="0" borderId="0" xfId="64" applyFont="1">
      <alignment/>
      <protection/>
    </xf>
    <xf numFmtId="0" fontId="19" fillId="0" borderId="0" xfId="64" applyFont="1" applyAlignment="1">
      <alignment horizontal="center"/>
      <protection/>
    </xf>
    <xf numFmtId="0" fontId="18" fillId="0" borderId="15" xfId="64" applyFont="1" applyBorder="1" applyAlignment="1">
      <alignment horizontal="left"/>
      <protection/>
    </xf>
    <xf numFmtId="5" fontId="18" fillId="0" borderId="15" xfId="48" applyNumberFormat="1" applyFont="1" applyBorder="1" applyAlignment="1">
      <alignment horizontal="center"/>
    </xf>
    <xf numFmtId="5" fontId="18" fillId="0" borderId="15" xfId="64" applyNumberFormat="1" applyFont="1" applyBorder="1" applyAlignment="1">
      <alignment horizontal="center"/>
      <protection/>
    </xf>
    <xf numFmtId="0" fontId="18" fillId="0" borderId="16" xfId="64" applyFont="1" applyBorder="1" applyAlignment="1">
      <alignment horizontal="left"/>
      <protection/>
    </xf>
    <xf numFmtId="39" fontId="18" fillId="0" borderId="16" xfId="44" applyNumberFormat="1" applyFont="1" applyBorder="1" applyAlignment="1">
      <alignment horizontal="center"/>
    </xf>
    <xf numFmtId="7" fontId="73" fillId="0" borderId="0" xfId="64" applyNumberFormat="1">
      <alignment/>
      <protection/>
    </xf>
    <xf numFmtId="0" fontId="73" fillId="0" borderId="0" xfId="64" applyAlignment="1">
      <alignment horizontal="right"/>
      <protection/>
    </xf>
    <xf numFmtId="5" fontId="73" fillId="0" borderId="0" xfId="64" applyNumberFormat="1">
      <alignment/>
      <protection/>
    </xf>
    <xf numFmtId="0" fontId="18" fillId="0" borderId="15" xfId="64" applyFont="1" applyBorder="1">
      <alignment/>
      <protection/>
    </xf>
    <xf numFmtId="0" fontId="18" fillId="0" borderId="16" xfId="64" applyFont="1" applyBorder="1">
      <alignment/>
      <protection/>
    </xf>
    <xf numFmtId="0" fontId="18" fillId="0" borderId="0" xfId="64" applyFont="1" applyAlignment="1">
      <alignment horizontal="right"/>
      <protection/>
    </xf>
    <xf numFmtId="167" fontId="19" fillId="0" borderId="0" xfId="44" applyNumberFormat="1" applyFont="1" applyAlignment="1">
      <alignment horizontal="center"/>
    </xf>
    <xf numFmtId="167" fontId="18" fillId="0" borderId="0" xfId="64" applyNumberFormat="1" applyFont="1">
      <alignment/>
      <protection/>
    </xf>
    <xf numFmtId="166" fontId="18" fillId="0" borderId="0" xfId="64" applyNumberFormat="1" applyFont="1">
      <alignment/>
      <protection/>
    </xf>
    <xf numFmtId="43" fontId="18" fillId="0" borderId="0" xfId="64" applyNumberFormat="1" applyFont="1">
      <alignment/>
      <protection/>
    </xf>
    <xf numFmtId="0" fontId="18" fillId="0" borderId="17" xfId="64" applyFont="1" applyBorder="1">
      <alignment/>
      <protection/>
    </xf>
    <xf numFmtId="0" fontId="73" fillId="0" borderId="17" xfId="64" applyBorder="1">
      <alignment/>
      <protection/>
    </xf>
    <xf numFmtId="0" fontId="11" fillId="0" borderId="0" xfId="64" applyFont="1" applyAlignment="1">
      <alignment horizontal="left"/>
      <protection/>
    </xf>
    <xf numFmtId="0" fontId="20" fillId="0" borderId="0" xfId="64" applyFont="1" applyAlignment="1">
      <alignment horizontal="center"/>
      <protection/>
    </xf>
    <xf numFmtId="0" fontId="21" fillId="0" borderId="0" xfId="64" applyFont="1" applyAlignment="1">
      <alignment horizontal="center"/>
      <protection/>
    </xf>
    <xf numFmtId="0" fontId="20" fillId="0" borderId="0" xfId="64" applyFont="1" applyAlignment="1">
      <alignment horizontal="right"/>
      <protection/>
    </xf>
    <xf numFmtId="44" fontId="20" fillId="0" borderId="0" xfId="48" applyFont="1" applyAlignment="1">
      <alignment/>
    </xf>
    <xf numFmtId="170" fontId="20" fillId="0" borderId="0" xfId="48" applyNumberFormat="1" applyFont="1" applyAlignment="1">
      <alignment/>
    </xf>
    <xf numFmtId="14" fontId="20" fillId="0" borderId="0" xfId="64" applyNumberFormat="1" applyFont="1">
      <alignment/>
      <protection/>
    </xf>
    <xf numFmtId="0" fontId="0" fillId="0" borderId="0" xfId="0" applyBorder="1" applyAlignment="1">
      <alignment/>
    </xf>
    <xf numFmtId="0" fontId="0" fillId="0" borderId="14" xfId="0" applyBorder="1" applyAlignment="1">
      <alignment/>
    </xf>
    <xf numFmtId="0" fontId="0" fillId="0" borderId="0" xfId="0" applyFont="1" applyAlignment="1">
      <alignment/>
    </xf>
    <xf numFmtId="0" fontId="0" fillId="0" borderId="0" xfId="0" applyFont="1" applyAlignment="1">
      <alignment horizontal="right"/>
    </xf>
    <xf numFmtId="0" fontId="0" fillId="0" borderId="0" xfId="0" applyAlignment="1">
      <alignment horizontal="right"/>
    </xf>
    <xf numFmtId="0" fontId="0" fillId="0" borderId="0" xfId="0" applyFont="1" applyAlignment="1">
      <alignment horizontal="left"/>
    </xf>
    <xf numFmtId="0" fontId="22" fillId="0" borderId="0" xfId="0" applyFont="1" applyAlignment="1">
      <alignment/>
    </xf>
    <xf numFmtId="0" fontId="22" fillId="0" borderId="0" xfId="0" applyFont="1" applyAlignment="1">
      <alignment horizontal="left"/>
    </xf>
    <xf numFmtId="0" fontId="3" fillId="0" borderId="0" xfId="0" applyFont="1" applyAlignment="1">
      <alignment horizontal="center"/>
    </xf>
    <xf numFmtId="0" fontId="3" fillId="0" borderId="0" xfId="0" applyFont="1" applyBorder="1" applyAlignment="1">
      <alignment/>
    </xf>
    <xf numFmtId="0" fontId="3" fillId="0" borderId="0" xfId="0" applyFont="1" applyAlignment="1">
      <alignment/>
    </xf>
    <xf numFmtId="0" fontId="3" fillId="0" borderId="14" xfId="0" applyFont="1" applyBorder="1" applyAlignment="1">
      <alignment/>
    </xf>
    <xf numFmtId="7" fontId="0" fillId="0" borderId="0" xfId="0" applyNumberFormat="1" applyAlignment="1">
      <alignment/>
    </xf>
    <xf numFmtId="0" fontId="3" fillId="0" borderId="0" xfId="0" applyFont="1" applyAlignment="1" applyProtection="1">
      <alignment/>
      <protection locked="0"/>
    </xf>
    <xf numFmtId="0" fontId="3" fillId="0" borderId="0" xfId="0" applyFont="1" applyBorder="1" applyAlignment="1">
      <alignment horizontal="right"/>
    </xf>
    <xf numFmtId="0" fontId="3" fillId="0" borderId="0" xfId="0" applyFont="1" applyAlignment="1">
      <alignment horizontal="left"/>
    </xf>
    <xf numFmtId="0" fontId="23" fillId="0" borderId="0" xfId="0" applyFont="1" applyAlignment="1" applyProtection="1">
      <alignment/>
      <protection locked="0"/>
    </xf>
    <xf numFmtId="0" fontId="3" fillId="0" borderId="11" xfId="0" applyFont="1" applyBorder="1" applyAlignment="1">
      <alignment horizontal="left" vertical="center"/>
    </xf>
    <xf numFmtId="0" fontId="3" fillId="0" borderId="14" xfId="0" applyFont="1" applyBorder="1" applyAlignment="1">
      <alignment horizontal="left"/>
    </xf>
    <xf numFmtId="0" fontId="3" fillId="0" borderId="0" xfId="0" applyFont="1" applyBorder="1" applyAlignment="1">
      <alignment/>
    </xf>
    <xf numFmtId="0" fontId="24" fillId="0" borderId="18" xfId="0" applyNumberFormat="1" applyFont="1" applyBorder="1" applyAlignment="1" quotePrefix="1">
      <alignment wrapText="1"/>
    </xf>
    <xf numFmtId="0" fontId="24" fillId="37" borderId="18" xfId="0" applyNumberFormat="1" applyFont="1" applyFill="1" applyBorder="1" applyAlignment="1">
      <alignment wrapText="1"/>
    </xf>
    <xf numFmtId="0" fontId="24" fillId="30" borderId="18" xfId="0" applyNumberFormat="1" applyFont="1" applyFill="1" applyBorder="1" applyAlignment="1">
      <alignment wrapText="1"/>
    </xf>
    <xf numFmtId="0" fontId="24" fillId="37" borderId="18" xfId="0" applyNumberFormat="1" applyFont="1" applyFill="1" applyBorder="1" applyAlignment="1" quotePrefix="1">
      <alignment wrapText="1"/>
    </xf>
    <xf numFmtId="0" fontId="24" fillId="0" borderId="18" xfId="0" applyNumberFormat="1" applyFont="1" applyFill="1" applyBorder="1" applyAlignment="1" quotePrefix="1">
      <alignment wrapText="1"/>
    </xf>
    <xf numFmtId="0" fontId="24" fillId="30" borderId="18" xfId="0" applyNumberFormat="1" applyFont="1" applyFill="1" applyBorder="1" applyAlignment="1" quotePrefix="1">
      <alignment wrapText="1"/>
    </xf>
    <xf numFmtId="43" fontId="24" fillId="30" borderId="18" xfId="42" applyFont="1" applyFill="1" applyBorder="1" applyAlignment="1" quotePrefix="1">
      <alignment wrapText="1"/>
    </xf>
    <xf numFmtId="165" fontId="24" fillId="30" borderId="18" xfId="42" applyNumberFormat="1" applyFont="1" applyFill="1" applyBorder="1" applyAlignment="1" quotePrefix="1">
      <alignment wrapText="1"/>
    </xf>
    <xf numFmtId="0" fontId="24" fillId="0" borderId="11" xfId="0" applyNumberFormat="1" applyFont="1" applyBorder="1" applyAlignment="1" quotePrefix="1">
      <alignment wrapText="1"/>
    </xf>
    <xf numFmtId="171" fontId="24" fillId="38" borderId="0" xfId="0" applyNumberFormat="1" applyFont="1" applyFill="1" applyAlignment="1">
      <alignment/>
    </xf>
    <xf numFmtId="0" fontId="24" fillId="0" borderId="0" xfId="0" applyFont="1" applyAlignment="1">
      <alignment/>
    </xf>
    <xf numFmtId="0" fontId="25" fillId="0" borderId="0" xfId="0" applyFont="1" applyAlignment="1">
      <alignment/>
    </xf>
    <xf numFmtId="14" fontId="24" fillId="0" borderId="0" xfId="0" applyNumberFormat="1" applyFont="1" applyAlignment="1">
      <alignment/>
    </xf>
    <xf numFmtId="0" fontId="24" fillId="0" borderId="0" xfId="0" applyNumberFormat="1" applyFont="1" applyAlignment="1" quotePrefix="1">
      <alignment/>
    </xf>
    <xf numFmtId="0" fontId="3" fillId="39" borderId="0" xfId="0" applyFont="1" applyFill="1" applyAlignment="1">
      <alignment/>
    </xf>
    <xf numFmtId="0" fontId="6" fillId="39" borderId="19" xfId="0" applyFont="1" applyFill="1" applyBorder="1" applyAlignment="1">
      <alignment horizontal="left" wrapText="1"/>
    </xf>
    <xf numFmtId="0" fontId="6" fillId="39" borderId="20" xfId="0" applyFont="1" applyFill="1" applyBorder="1" applyAlignment="1">
      <alignment horizontal="left" wrapText="1"/>
    </xf>
    <xf numFmtId="0" fontId="6" fillId="39" borderId="11" xfId="0" applyFont="1" applyFill="1" applyBorder="1" applyAlignment="1">
      <alignment horizontal="left" wrapText="1"/>
    </xf>
    <xf numFmtId="0" fontId="6" fillId="37" borderId="21" xfId="0" applyFont="1" applyFill="1" applyBorder="1" applyAlignment="1">
      <alignment horizontal="left" wrapText="1"/>
    </xf>
    <xf numFmtId="0" fontId="6" fillId="30" borderId="21" xfId="0" applyFont="1" applyFill="1" applyBorder="1" applyAlignment="1">
      <alignment horizontal="left" wrapText="1"/>
    </xf>
    <xf numFmtId="0" fontId="6" fillId="39" borderId="21" xfId="0" applyFont="1" applyFill="1" applyBorder="1" applyAlignment="1">
      <alignment horizontal="left" wrapText="1"/>
    </xf>
    <xf numFmtId="0" fontId="6" fillId="0" borderId="21" xfId="0" applyFont="1" applyFill="1" applyBorder="1" applyAlignment="1">
      <alignment horizontal="left" wrapText="1"/>
    </xf>
    <xf numFmtId="43" fontId="6" fillId="30" borderId="21" xfId="42" applyFont="1" applyFill="1" applyBorder="1" applyAlignment="1">
      <alignment horizontal="left" wrapText="1"/>
    </xf>
    <xf numFmtId="165" fontId="6" fillId="30" borderId="21" xfId="42" applyNumberFormat="1" applyFont="1" applyFill="1" applyBorder="1" applyAlignment="1">
      <alignment horizontal="left" wrapText="1"/>
    </xf>
    <xf numFmtId="171" fontId="6" fillId="38" borderId="21" xfId="0" applyNumberFormat="1" applyFont="1" applyFill="1" applyBorder="1" applyAlignment="1">
      <alignment horizontal="left" wrapText="1"/>
    </xf>
    <xf numFmtId="0" fontId="6" fillId="39" borderId="22" xfId="0" applyFont="1" applyFill="1" applyBorder="1" applyAlignment="1">
      <alignment horizontal="left" wrapText="1"/>
    </xf>
    <xf numFmtId="0" fontId="6" fillId="39" borderId="23" xfId="0" applyFont="1" applyFill="1" applyBorder="1" applyAlignment="1">
      <alignment horizontal="center" wrapText="1"/>
    </xf>
    <xf numFmtId="0" fontId="6" fillId="39" borderId="24" xfId="0" applyFont="1" applyFill="1" applyBorder="1" applyAlignment="1">
      <alignment horizontal="left" wrapText="1"/>
    </xf>
    <xf numFmtId="0" fontId="26" fillId="36" borderId="11" xfId="0" applyFont="1" applyFill="1" applyBorder="1" applyAlignment="1">
      <alignment horizontal="center" vertical="center" wrapText="1"/>
    </xf>
    <xf numFmtId="0" fontId="27" fillId="36" borderId="11" xfId="0" applyNumberFormat="1" applyFont="1" applyFill="1" applyBorder="1" applyAlignment="1">
      <alignment horizontal="center" vertical="center" wrapText="1"/>
    </xf>
    <xf numFmtId="0" fontId="27" fillId="36" borderId="12" xfId="0" applyNumberFormat="1" applyFont="1" applyFill="1" applyBorder="1" applyAlignment="1">
      <alignment horizontal="center" vertical="center" wrapText="1"/>
    </xf>
    <xf numFmtId="172" fontId="27" fillId="36" borderId="11" xfId="0" applyNumberFormat="1" applyFont="1" applyFill="1" applyBorder="1" applyAlignment="1">
      <alignment horizontal="center" vertical="center" wrapText="1"/>
    </xf>
    <xf numFmtId="9" fontId="27" fillId="36" borderId="11" xfId="0" applyNumberFormat="1" applyFont="1" applyFill="1" applyBorder="1" applyAlignment="1">
      <alignment horizontal="center" vertical="center" wrapText="1"/>
    </xf>
    <xf numFmtId="168" fontId="27" fillId="36" borderId="11" xfId="0" applyNumberFormat="1" applyFont="1" applyFill="1" applyBorder="1" applyAlignment="1">
      <alignment horizontal="center" vertical="center" wrapText="1"/>
    </xf>
    <xf numFmtId="1" fontId="27" fillId="40" borderId="11" xfId="0" applyNumberFormat="1" applyFont="1" applyFill="1" applyBorder="1" applyAlignment="1">
      <alignment horizontal="center" vertical="center" wrapText="1"/>
    </xf>
    <xf numFmtId="172" fontId="27" fillId="36" borderId="12" xfId="0" applyNumberFormat="1" applyFont="1" applyFill="1" applyBorder="1" applyAlignment="1">
      <alignment horizontal="center" vertical="center" wrapText="1"/>
    </xf>
    <xf numFmtId="3" fontId="27" fillId="36" borderId="12" xfId="0" applyNumberFormat="1" applyFont="1" applyFill="1" applyBorder="1" applyAlignment="1">
      <alignment horizontal="center" vertical="center" wrapText="1"/>
    </xf>
    <xf numFmtId="2" fontId="27" fillId="36" borderId="11" xfId="0" applyNumberFormat="1" applyFont="1" applyFill="1" applyBorder="1" applyAlignment="1">
      <alignment horizontal="center" vertical="center" wrapText="1"/>
    </xf>
    <xf numFmtId="2" fontId="28" fillId="36" borderId="11" xfId="0" applyNumberFormat="1" applyFont="1" applyFill="1" applyBorder="1" applyAlignment="1">
      <alignment horizontal="center" vertical="center" wrapText="1"/>
    </xf>
    <xf numFmtId="3" fontId="27" fillId="36" borderId="11" xfId="0" applyNumberFormat="1" applyFont="1" applyFill="1" applyBorder="1" applyAlignment="1">
      <alignment horizontal="center" vertical="center" wrapText="1"/>
    </xf>
    <xf numFmtId="3" fontId="28" fillId="36" borderId="11" xfId="0" applyNumberFormat="1" applyFont="1" applyFill="1" applyBorder="1" applyAlignment="1">
      <alignment horizontal="center" vertical="center" wrapText="1"/>
    </xf>
    <xf numFmtId="3" fontId="27" fillId="39" borderId="11" xfId="0" applyNumberFormat="1" applyFont="1" applyFill="1" applyBorder="1" applyAlignment="1">
      <alignment horizontal="center" vertical="center" wrapText="1"/>
    </xf>
    <xf numFmtId="172" fontId="27" fillId="39" borderId="11" xfId="0" applyNumberFormat="1" applyFont="1" applyFill="1" applyBorder="1" applyAlignment="1">
      <alignment horizontal="center" vertical="center" wrapText="1"/>
    </xf>
    <xf numFmtId="2" fontId="27" fillId="39" borderId="11" xfId="0" applyNumberFormat="1" applyFont="1" applyFill="1" applyBorder="1" applyAlignment="1">
      <alignment horizontal="center" vertical="center" wrapText="1"/>
    </xf>
    <xf numFmtId="0" fontId="27" fillId="39" borderId="11" xfId="0" applyFont="1" applyFill="1" applyBorder="1" applyAlignment="1">
      <alignment horizontal="center" vertical="center" wrapText="1"/>
    </xf>
    <xf numFmtId="173" fontId="27" fillId="36" borderId="11" xfId="0" applyNumberFormat="1"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11" xfId="0" applyFont="1" applyFill="1" applyBorder="1" applyAlignment="1">
      <alignment horizontal="left" wrapText="1"/>
    </xf>
    <xf numFmtId="0" fontId="3" fillId="0" borderId="11" xfId="0" applyFont="1" applyBorder="1" applyAlignment="1">
      <alignment horizontal="center" vertical="center" wrapText="1"/>
    </xf>
    <xf numFmtId="3" fontId="3" fillId="0" borderId="11" xfId="0" applyNumberFormat="1" applyFont="1" applyBorder="1" applyAlignment="1">
      <alignment horizontal="center" vertical="center" wrapText="1"/>
    </xf>
    <xf numFmtId="0" fontId="3" fillId="0" borderId="11" xfId="0" applyNumberFormat="1" applyFont="1" applyFill="1" applyBorder="1" applyAlignment="1" applyProtection="1">
      <alignment horizontal="center" vertical="center" wrapText="1"/>
      <protection locked="0"/>
    </xf>
    <xf numFmtId="3" fontId="3" fillId="0" borderId="11" xfId="0" applyNumberFormat="1" applyFont="1" applyFill="1" applyBorder="1" applyAlignment="1" applyProtection="1">
      <alignment horizontal="center" vertical="center" wrapText="1"/>
      <protection locked="0"/>
    </xf>
    <xf numFmtId="174" fontId="3" fillId="0" borderId="11" xfId="0" applyNumberFormat="1" applyFont="1" applyFill="1" applyBorder="1" applyAlignment="1" applyProtection="1">
      <alignment horizontal="center" vertical="center" wrapText="1"/>
      <protection locked="0"/>
    </xf>
    <xf numFmtId="169" fontId="3" fillId="36" borderId="11" xfId="46" applyNumberFormat="1" applyFont="1" applyFill="1" applyBorder="1" applyAlignment="1" applyProtection="1">
      <alignment horizontal="center" vertical="center" wrapText="1"/>
      <protection locked="0"/>
    </xf>
    <xf numFmtId="9" fontId="3" fillId="36" borderId="11" xfId="0" applyNumberFormat="1" applyFont="1" applyFill="1" applyBorder="1" applyAlignment="1" applyProtection="1">
      <alignment horizontal="center" vertical="center" wrapText="1"/>
      <protection locked="0"/>
    </xf>
    <xf numFmtId="168" fontId="3" fillId="36" borderId="11" xfId="0" applyNumberFormat="1" applyFont="1" applyFill="1" applyBorder="1" applyAlignment="1" applyProtection="1">
      <alignment horizontal="center" vertical="center" wrapText="1"/>
      <protection locked="0"/>
    </xf>
    <xf numFmtId="3" fontId="3" fillId="36" borderId="11" xfId="42" applyNumberFormat="1" applyFont="1" applyFill="1" applyBorder="1" applyAlignment="1" applyProtection="1">
      <alignment horizontal="center" vertical="center" wrapText="1"/>
      <protection locked="0"/>
    </xf>
    <xf numFmtId="175" fontId="3" fillId="36" borderId="11" xfId="0" applyNumberFormat="1" applyFont="1" applyFill="1" applyBorder="1" applyAlignment="1" applyProtection="1">
      <alignment horizontal="center" vertical="center" wrapText="1"/>
      <protection locked="0"/>
    </xf>
    <xf numFmtId="4" fontId="3" fillId="36" borderId="11" xfId="0" applyNumberFormat="1" applyFont="1" applyFill="1" applyBorder="1" applyAlignment="1" applyProtection="1">
      <alignment horizontal="center" vertical="center" wrapText="1"/>
      <protection locked="0"/>
    </xf>
    <xf numFmtId="4" fontId="3" fillId="0" borderId="11" xfId="0" applyNumberFormat="1" applyFont="1" applyFill="1" applyBorder="1" applyAlignment="1" applyProtection="1">
      <alignment horizontal="center" vertical="center" wrapText="1"/>
      <protection locked="0"/>
    </xf>
    <xf numFmtId="172"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10" fontId="3" fillId="0" borderId="11" xfId="68" applyNumberFormat="1" applyFont="1" applyFill="1" applyBorder="1" applyAlignment="1">
      <alignment horizontal="center"/>
    </xf>
    <xf numFmtId="3" fontId="3" fillId="0" borderId="11" xfId="42" applyNumberFormat="1" applyFont="1" applyFill="1" applyBorder="1" applyAlignment="1" applyProtection="1">
      <alignment horizontal="center" vertical="center" wrapText="1"/>
      <protection locked="0"/>
    </xf>
    <xf numFmtId="1" fontId="3" fillId="0" borderId="11" xfId="0" applyNumberFormat="1" applyFont="1" applyFill="1" applyBorder="1" applyAlignment="1" applyProtection="1">
      <alignment horizontal="center" vertical="center" wrapText="1"/>
      <protection locked="0"/>
    </xf>
    <xf numFmtId="0" fontId="0" fillId="37" borderId="0" xfId="0" applyFill="1" applyAlignment="1">
      <alignment/>
    </xf>
    <xf numFmtId="0" fontId="0" fillId="30" borderId="0" xfId="0" applyFill="1" applyAlignment="1">
      <alignment/>
    </xf>
    <xf numFmtId="3" fontId="0" fillId="0" borderId="0" xfId="0" applyNumberFormat="1" applyAlignment="1">
      <alignment/>
    </xf>
    <xf numFmtId="167" fontId="0" fillId="30" borderId="0" xfId="42" applyNumberFormat="1" applyFont="1" applyFill="1" applyAlignment="1">
      <alignment/>
    </xf>
    <xf numFmtId="174" fontId="0" fillId="37" borderId="0" xfId="0" applyNumberFormat="1" applyFill="1" applyAlignment="1">
      <alignment/>
    </xf>
    <xf numFmtId="43" fontId="0" fillId="30" borderId="0" xfId="42" applyFont="1" applyFill="1" applyAlignment="1">
      <alignment/>
    </xf>
    <xf numFmtId="3" fontId="0" fillId="30" borderId="0" xfId="42" applyNumberFormat="1" applyFont="1" applyFill="1" applyAlignment="1">
      <alignment/>
    </xf>
    <xf numFmtId="4" fontId="0" fillId="38" borderId="0" xfId="42" applyNumberFormat="1" applyFont="1" applyFill="1" applyAlignment="1">
      <alignment/>
    </xf>
    <xf numFmtId="0" fontId="0" fillId="37" borderId="0" xfId="0" applyFill="1" applyBorder="1" applyAlignment="1">
      <alignment/>
    </xf>
    <xf numFmtId="0" fontId="0" fillId="30" borderId="0" xfId="0" applyFill="1" applyBorder="1" applyAlignment="1">
      <alignment/>
    </xf>
    <xf numFmtId="176" fontId="0" fillId="0" borderId="0" xfId="0" applyNumberFormat="1" applyFill="1" applyAlignment="1">
      <alignment/>
    </xf>
    <xf numFmtId="167" fontId="0" fillId="37" borderId="0" xfId="42" applyNumberFormat="1" applyFont="1" applyFill="1" applyAlignment="1">
      <alignment/>
    </xf>
    <xf numFmtId="165" fontId="0" fillId="30" borderId="0" xfId="42" applyNumberFormat="1" applyFont="1" applyFill="1" applyAlignment="1">
      <alignment/>
    </xf>
    <xf numFmtId="3" fontId="0" fillId="38" borderId="0" xfId="42" applyNumberFormat="1" applyFont="1" applyFill="1" applyAlignment="1">
      <alignment/>
    </xf>
    <xf numFmtId="173" fontId="27" fillId="36" borderId="13" xfId="0" applyNumberFormat="1" applyFont="1" applyFill="1" applyBorder="1" applyAlignment="1">
      <alignment horizontal="center" vertical="center"/>
    </xf>
    <xf numFmtId="173" fontId="27" fillId="36" borderId="26" xfId="0" applyNumberFormat="1" applyFont="1" applyFill="1" applyBorder="1" applyAlignment="1">
      <alignment horizontal="center" vertical="center"/>
    </xf>
    <xf numFmtId="0" fontId="27" fillId="41" borderId="11" xfId="0" applyFont="1" applyFill="1" applyBorder="1" applyAlignment="1">
      <alignment horizontal="left" vertical="center" wrapText="1"/>
    </xf>
    <xf numFmtId="0" fontId="26" fillId="0" borderId="0" xfId="0" applyFont="1" applyAlignment="1">
      <alignment/>
    </xf>
    <xf numFmtId="0" fontId="3" fillId="0" borderId="11" xfId="0" applyFont="1" applyFill="1" applyBorder="1" applyAlignment="1" applyProtection="1">
      <alignment horizontal="center" wrapText="1"/>
      <protection locked="0"/>
    </xf>
    <xf numFmtId="3" fontId="3" fillId="0" borderId="27" xfId="0" applyNumberFormat="1" applyFont="1" applyFill="1" applyBorder="1" applyAlignment="1" applyProtection="1">
      <alignment horizontal="center" vertical="center" wrapText="1"/>
      <protection locked="0"/>
    </xf>
    <xf numFmtId="44" fontId="23" fillId="0" borderId="0" xfId="0" applyNumberFormat="1" applyFont="1" applyFill="1" applyAlignment="1">
      <alignment horizontal="center" vertical="center" wrapText="1"/>
    </xf>
    <xf numFmtId="0" fontId="2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3" fillId="36" borderId="11" xfId="0" applyFont="1" applyFill="1" applyBorder="1" applyAlignment="1">
      <alignment horizontal="center" vertical="center" wrapText="1"/>
    </xf>
    <xf numFmtId="0" fontId="6" fillId="36" borderId="11" xfId="0" applyNumberFormat="1" applyFont="1" applyFill="1" applyBorder="1" applyAlignment="1">
      <alignment horizontal="center" vertical="center" wrapText="1"/>
    </xf>
    <xf numFmtId="0" fontId="6" fillId="36" borderId="12" xfId="0" applyNumberFormat="1" applyFont="1" applyFill="1" applyBorder="1" applyAlignment="1">
      <alignment horizontal="center" vertical="center" wrapText="1"/>
    </xf>
    <xf numFmtId="172" fontId="6" fillId="36" borderId="11" xfId="0" applyNumberFormat="1" applyFont="1" applyFill="1" applyBorder="1" applyAlignment="1">
      <alignment horizontal="center" vertical="center" wrapText="1"/>
    </xf>
    <xf numFmtId="9" fontId="6" fillId="36" borderId="11" xfId="0" applyNumberFormat="1" applyFont="1" applyFill="1" applyBorder="1" applyAlignment="1">
      <alignment horizontal="center" vertical="center" wrapText="1"/>
    </xf>
    <xf numFmtId="168" fontId="6" fillId="36" borderId="11" xfId="0" applyNumberFormat="1" applyFont="1" applyFill="1" applyBorder="1" applyAlignment="1">
      <alignment horizontal="center" vertical="center" wrapText="1"/>
    </xf>
    <xf numFmtId="1" fontId="6" fillId="36" borderId="11" xfId="0" applyNumberFormat="1" applyFont="1" applyFill="1" applyBorder="1" applyAlignment="1">
      <alignment horizontal="center" vertical="center" wrapText="1"/>
    </xf>
    <xf numFmtId="172" fontId="6" fillId="36" borderId="12" xfId="0" applyNumberFormat="1" applyFont="1" applyFill="1" applyBorder="1" applyAlignment="1">
      <alignment horizontal="center" vertical="center" wrapText="1"/>
    </xf>
    <xf numFmtId="3" fontId="6" fillId="36" borderId="12" xfId="0" applyNumberFormat="1" applyFont="1" applyFill="1" applyBorder="1" applyAlignment="1">
      <alignment horizontal="center" vertical="center" wrapText="1"/>
    </xf>
    <xf numFmtId="2" fontId="6" fillId="36" borderId="11" xfId="0" applyNumberFormat="1" applyFont="1" applyFill="1" applyBorder="1" applyAlignment="1">
      <alignment horizontal="center" vertical="center" wrapText="1"/>
    </xf>
    <xf numFmtId="2" fontId="29" fillId="36" borderId="11" xfId="0" applyNumberFormat="1" applyFont="1" applyFill="1" applyBorder="1" applyAlignment="1">
      <alignment horizontal="center" vertical="center" wrapText="1"/>
    </xf>
    <xf numFmtId="3" fontId="6" fillId="36" borderId="11" xfId="0" applyNumberFormat="1" applyFont="1" applyFill="1" applyBorder="1" applyAlignment="1">
      <alignment horizontal="center" vertical="center" wrapText="1"/>
    </xf>
    <xf numFmtId="3" fontId="29" fillId="36" borderId="11" xfId="0" applyNumberFormat="1" applyFont="1" applyFill="1" applyBorder="1" applyAlignment="1">
      <alignment horizontal="center" vertical="center" wrapText="1"/>
    </xf>
    <xf numFmtId="3" fontId="6" fillId="39" borderId="11" xfId="0" applyNumberFormat="1" applyFont="1" applyFill="1" applyBorder="1" applyAlignment="1">
      <alignment horizontal="center" vertical="center" wrapText="1"/>
    </xf>
    <xf numFmtId="172" fontId="6" fillId="39" borderId="11" xfId="0" applyNumberFormat="1" applyFont="1" applyFill="1" applyBorder="1" applyAlignment="1">
      <alignment horizontal="center" vertical="center" wrapText="1"/>
    </xf>
    <xf numFmtId="2" fontId="6" fillId="39" borderId="11" xfId="0" applyNumberFormat="1" applyFont="1" applyFill="1" applyBorder="1" applyAlignment="1">
      <alignment horizontal="center" vertical="center" wrapText="1"/>
    </xf>
    <xf numFmtId="0" fontId="6" fillId="39" borderId="11" xfId="0" applyFont="1" applyFill="1" applyBorder="1" applyAlignment="1">
      <alignment horizontal="center" vertical="center" wrapText="1"/>
    </xf>
    <xf numFmtId="173" fontId="6" fillId="36" borderId="11" xfId="0" applyNumberFormat="1" applyFont="1" applyFill="1" applyBorder="1" applyAlignment="1">
      <alignment horizontal="center" vertical="center" wrapText="1"/>
    </xf>
    <xf numFmtId="173" fontId="6" fillId="36" borderId="13" xfId="0" applyNumberFormat="1" applyFont="1" applyFill="1" applyBorder="1" applyAlignment="1">
      <alignment horizontal="center" vertical="center"/>
    </xf>
    <xf numFmtId="173" fontId="6" fillId="36" borderId="26" xfId="0" applyNumberFormat="1" applyFont="1" applyFill="1" applyBorder="1" applyAlignment="1">
      <alignment horizontal="center" vertical="center"/>
    </xf>
    <xf numFmtId="0" fontId="6" fillId="41" borderId="11" xfId="0" applyFont="1" applyFill="1" applyBorder="1" applyAlignment="1">
      <alignment horizontal="left" vertical="center" wrapText="1"/>
    </xf>
    <xf numFmtId="0" fontId="3" fillId="0" borderId="11" xfId="0" applyFont="1" applyFill="1" applyBorder="1" applyAlignment="1" applyProtection="1">
      <alignment horizontal="left" wrapText="1"/>
      <protection locked="0"/>
    </xf>
    <xf numFmtId="177" fontId="0" fillId="37" borderId="0" xfId="46" applyNumberFormat="1" applyFont="1" applyFill="1" applyAlignment="1">
      <alignment/>
    </xf>
    <xf numFmtId="43" fontId="0" fillId="30" borderId="0" xfId="42" applyNumberFormat="1" applyFont="1" applyFill="1" applyAlignment="1">
      <alignment/>
    </xf>
    <xf numFmtId="167" fontId="0" fillId="38" borderId="0" xfId="42" applyNumberFormat="1" applyFont="1" applyFill="1" applyAlignment="1">
      <alignment horizontal="center"/>
    </xf>
    <xf numFmtId="0" fontId="4" fillId="0" borderId="0" xfId="65" applyFont="1">
      <alignment/>
      <protection/>
    </xf>
    <xf numFmtId="0" fontId="0" fillId="0" borderId="0" xfId="65">
      <alignment/>
      <protection/>
    </xf>
    <xf numFmtId="0" fontId="0" fillId="0" borderId="0" xfId="65" quotePrefix="1">
      <alignment/>
      <protection/>
    </xf>
    <xf numFmtId="0" fontId="0" fillId="0" borderId="0" xfId="65" applyFill="1" quotePrefix="1">
      <alignment/>
      <protection/>
    </xf>
    <xf numFmtId="0" fontId="0" fillId="0" borderId="0" xfId="65" applyFill="1">
      <alignment/>
      <protection/>
    </xf>
    <xf numFmtId="0" fontId="0" fillId="0" borderId="0" xfId="65" applyAlignment="1">
      <alignment horizontal="left"/>
      <protection/>
    </xf>
    <xf numFmtId="0" fontId="0" fillId="0" borderId="0" xfId="65" applyFill="1" applyAlignment="1">
      <alignment horizontal="left"/>
      <protection/>
    </xf>
    <xf numFmtId="0" fontId="0" fillId="35" borderId="11" xfId="65" applyFill="1" applyBorder="1">
      <alignment/>
      <protection/>
    </xf>
    <xf numFmtId="0" fontId="0" fillId="0" borderId="11" xfId="65" applyFill="1" applyBorder="1">
      <alignment/>
      <protection/>
    </xf>
    <xf numFmtId="167" fontId="0" fillId="0" borderId="11" xfId="45" applyNumberFormat="1" applyFont="1" applyFill="1" applyBorder="1" applyAlignment="1">
      <alignment/>
    </xf>
    <xf numFmtId="167" fontId="0" fillId="0" borderId="11" xfId="45" applyNumberFormat="1" applyFont="1" applyBorder="1" applyAlignment="1">
      <alignment/>
    </xf>
    <xf numFmtId="0" fontId="0" fillId="0" borderId="11" xfId="65" applyBorder="1">
      <alignment/>
      <protection/>
    </xf>
    <xf numFmtId="0" fontId="0" fillId="0" borderId="0" xfId="65" applyBorder="1">
      <alignment/>
      <protection/>
    </xf>
    <xf numFmtId="167" fontId="0" fillId="0" borderId="0" xfId="45" applyNumberFormat="1" applyFont="1" applyBorder="1" applyAlignment="1">
      <alignment/>
    </xf>
    <xf numFmtId="0" fontId="0" fillId="0" borderId="0" xfId="65" applyFill="1" applyBorder="1">
      <alignment/>
      <protection/>
    </xf>
    <xf numFmtId="167" fontId="0" fillId="0" borderId="0" xfId="45" applyNumberFormat="1" applyFont="1" applyFill="1" applyBorder="1" applyAlignment="1">
      <alignment/>
    </xf>
    <xf numFmtId="167" fontId="0" fillId="35" borderId="11" xfId="45" applyNumberFormat="1" applyFont="1" applyFill="1" applyBorder="1" applyAlignment="1">
      <alignment/>
    </xf>
    <xf numFmtId="174" fontId="0" fillId="0" borderId="11" xfId="45" applyNumberFormat="1" applyFont="1" applyFill="1" applyBorder="1" applyAlignment="1">
      <alignment/>
    </xf>
    <xf numFmtId="174" fontId="0" fillId="0" borderId="0" xfId="45" applyNumberFormat="1" applyFont="1" applyFill="1" applyBorder="1" applyAlignment="1">
      <alignment/>
    </xf>
    <xf numFmtId="0" fontId="4" fillId="0" borderId="0" xfId="65" applyFont="1" applyFill="1" applyBorder="1">
      <alignment/>
      <protection/>
    </xf>
    <xf numFmtId="166" fontId="0" fillId="0" borderId="11" xfId="45" applyNumberFormat="1" applyFont="1" applyFill="1" applyBorder="1" applyAlignment="1">
      <alignment/>
    </xf>
    <xf numFmtId="166" fontId="0" fillId="0" borderId="11" xfId="45" applyNumberFormat="1" applyFont="1" applyBorder="1" applyAlignment="1">
      <alignment/>
    </xf>
    <xf numFmtId="0" fontId="0" fillId="35" borderId="11" xfId="65" applyFont="1" applyFill="1" applyBorder="1">
      <alignment/>
      <protection/>
    </xf>
    <xf numFmtId="0" fontId="0" fillId="0" borderId="11" xfId="65" applyBorder="1" quotePrefix="1">
      <alignment/>
      <protection/>
    </xf>
    <xf numFmtId="0" fontId="0" fillId="0" borderId="11" xfId="65" applyFill="1" applyBorder="1" quotePrefix="1">
      <alignment/>
      <protection/>
    </xf>
    <xf numFmtId="0" fontId="0" fillId="0" borderId="0" xfId="65" applyFont="1">
      <alignment/>
      <protection/>
    </xf>
    <xf numFmtId="174" fontId="0" fillId="0" borderId="11" xfId="45" applyNumberFormat="1" applyFont="1" applyBorder="1" applyAlignment="1">
      <alignment/>
    </xf>
    <xf numFmtId="174" fontId="0" fillId="0" borderId="0" xfId="45" applyNumberFormat="1" applyFont="1" applyBorder="1" applyAlignment="1">
      <alignment/>
    </xf>
    <xf numFmtId="166" fontId="0" fillId="0" borderId="0" xfId="45" applyNumberFormat="1" applyFont="1" applyBorder="1" applyAlignment="1">
      <alignment/>
    </xf>
    <xf numFmtId="166" fontId="0" fillId="0" borderId="0" xfId="45" applyNumberFormat="1" applyFont="1" applyFill="1" applyBorder="1" applyAlignment="1" quotePrefix="1">
      <alignment/>
    </xf>
    <xf numFmtId="166" fontId="0" fillId="0" borderId="11" xfId="45" applyNumberFormat="1" applyFont="1" applyFill="1" applyBorder="1" applyAlignment="1" quotePrefix="1">
      <alignment/>
    </xf>
    <xf numFmtId="8" fontId="0" fillId="0" borderId="11" xfId="49" applyNumberFormat="1" applyFont="1" applyBorder="1" applyAlignment="1">
      <alignment/>
    </xf>
    <xf numFmtId="8" fontId="0" fillId="0" borderId="11" xfId="45" applyNumberFormat="1" applyFont="1" applyBorder="1" applyAlignment="1">
      <alignment/>
    </xf>
    <xf numFmtId="8" fontId="0" fillId="0" borderId="11" xfId="45" applyNumberFormat="1" applyFont="1" applyFill="1" applyBorder="1" applyAlignment="1">
      <alignment/>
    </xf>
    <xf numFmtId="8" fontId="0" fillId="0" borderId="0" xfId="45" applyNumberFormat="1" applyFont="1" applyFill="1" applyBorder="1" applyAlignment="1">
      <alignment/>
    </xf>
    <xf numFmtId="0" fontId="0" fillId="0" borderId="11" xfId="65" applyFont="1" applyFill="1" applyBorder="1" applyAlignment="1">
      <alignment/>
      <protection/>
    </xf>
    <xf numFmtId="178" fontId="0" fillId="0" borderId="11" xfId="65" applyNumberFormat="1" applyFill="1" applyBorder="1">
      <alignment/>
      <protection/>
    </xf>
    <xf numFmtId="178" fontId="0" fillId="0" borderId="11" xfId="65" applyNumberFormat="1" applyBorder="1">
      <alignment/>
      <protection/>
    </xf>
    <xf numFmtId="8" fontId="0" fillId="0" borderId="0" xfId="45" applyNumberFormat="1" applyFont="1" applyBorder="1" applyAlignment="1">
      <alignment/>
    </xf>
    <xf numFmtId="2" fontId="0" fillId="0" borderId="11" xfId="65" applyNumberFormat="1" applyBorder="1">
      <alignment/>
      <protection/>
    </xf>
    <xf numFmtId="0" fontId="6" fillId="0" borderId="0" xfId="0" applyFont="1" applyBorder="1" applyAlignment="1">
      <alignment horizontal="left" vertical="top"/>
    </xf>
    <xf numFmtId="44" fontId="18" fillId="0" borderId="15" xfId="64" applyNumberFormat="1" applyFont="1" applyBorder="1">
      <alignment/>
      <protection/>
    </xf>
    <xf numFmtId="44" fontId="19" fillId="0" borderId="16" xfId="64" applyNumberFormat="1" applyFont="1" applyBorder="1">
      <alignment/>
      <protection/>
    </xf>
    <xf numFmtId="0" fontId="3" fillId="0" borderId="0" xfId="0" applyFont="1" applyAlignment="1">
      <alignment/>
    </xf>
    <xf numFmtId="168" fontId="0" fillId="0" borderId="0" xfId="0" applyNumberFormat="1" applyAlignment="1">
      <alignment horizontal="right"/>
    </xf>
    <xf numFmtId="168" fontId="22" fillId="0" borderId="0" xfId="0" applyNumberFormat="1" applyFont="1" applyAlignment="1">
      <alignment horizontal="left"/>
    </xf>
    <xf numFmtId="168" fontId="0" fillId="0" borderId="0" xfId="0" applyNumberFormat="1" applyFont="1" applyAlignment="1">
      <alignment horizontal="right"/>
    </xf>
    <xf numFmtId="168" fontId="0" fillId="0" borderId="0" xfId="0" applyNumberFormat="1" applyAlignment="1">
      <alignment/>
    </xf>
    <xf numFmtId="0" fontId="3" fillId="0" borderId="0" xfId="0" applyFont="1" applyBorder="1" applyAlignment="1">
      <alignment horizontal="center" vertical="center"/>
    </xf>
    <xf numFmtId="0" fontId="6" fillId="0" borderId="0" xfId="0" applyFont="1" applyBorder="1" applyAlignment="1" applyProtection="1">
      <alignment horizontal="center"/>
      <protection locked="0"/>
    </xf>
    <xf numFmtId="0" fontId="4" fillId="42" borderId="11" xfId="0" applyFont="1" applyFill="1" applyBorder="1" applyAlignment="1">
      <alignment horizontal="center" vertical="center"/>
    </xf>
    <xf numFmtId="44" fontId="4" fillId="42" borderId="26" xfId="0" applyNumberFormat="1" applyFont="1" applyFill="1" applyBorder="1" applyAlignment="1">
      <alignment horizontal="center" vertical="center"/>
    </xf>
    <xf numFmtId="44" fontId="4" fillId="42" borderId="11" xfId="0" applyNumberFormat="1" applyFont="1" applyFill="1" applyBorder="1" applyAlignment="1">
      <alignment horizontal="center" vertical="center"/>
    </xf>
    <xf numFmtId="39" fontId="4" fillId="42" borderId="11" xfId="42" applyNumberFormat="1" applyFont="1" applyFill="1" applyBorder="1" applyAlignment="1">
      <alignment horizontal="center" vertical="center"/>
    </xf>
    <xf numFmtId="44" fontId="4" fillId="42" borderId="23"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xf>
    <xf numFmtId="0" fontId="6"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3" fillId="0" borderId="11" xfId="0" applyFont="1" applyBorder="1" applyAlignment="1">
      <alignment horizontal="left" vertical="center" wrapText="1"/>
    </xf>
    <xf numFmtId="0" fontId="3" fillId="0" borderId="0" xfId="64" applyFont="1" applyFill="1" applyBorder="1">
      <alignment/>
      <protection/>
    </xf>
    <xf numFmtId="0" fontId="30" fillId="0" borderId="13" xfId="0" applyFont="1" applyBorder="1" applyAlignment="1">
      <alignment horizontal="right"/>
    </xf>
    <xf numFmtId="0" fontId="3" fillId="0" borderId="0" xfId="0" applyFont="1" applyAlignment="1">
      <alignment vertical="center" wrapText="1"/>
    </xf>
    <xf numFmtId="0" fontId="3" fillId="0" borderId="0" xfId="0" applyFont="1" applyFill="1" applyAlignment="1">
      <alignment vertical="center"/>
    </xf>
    <xf numFmtId="0" fontId="3" fillId="0" borderId="0" xfId="0" applyFont="1" applyFill="1" applyAlignment="1">
      <alignment vertical="center" wrapText="1"/>
    </xf>
    <xf numFmtId="0" fontId="3" fillId="0" borderId="11" xfId="0" applyFont="1" applyFill="1" applyBorder="1" applyAlignment="1">
      <alignment horizontal="center" vertical="center"/>
    </xf>
    <xf numFmtId="0" fontId="0" fillId="0" borderId="11" xfId="0" applyFont="1" applyBorder="1" applyAlignment="1">
      <alignment/>
    </xf>
    <xf numFmtId="0" fontId="0" fillId="0" borderId="11" xfId="0" applyBorder="1" applyAlignment="1">
      <alignment/>
    </xf>
    <xf numFmtId="0" fontId="0" fillId="0" borderId="12" xfId="0" applyBorder="1" applyAlignment="1">
      <alignment/>
    </xf>
    <xf numFmtId="0" fontId="0" fillId="0" borderId="26" xfId="0" applyBorder="1" applyAlignment="1">
      <alignment/>
    </xf>
    <xf numFmtId="49" fontId="0" fillId="0" borderId="0" xfId="0" applyNumberFormat="1" applyAlignment="1">
      <alignment/>
    </xf>
    <xf numFmtId="14" fontId="73" fillId="43" borderId="0" xfId="64" applyNumberFormat="1" applyFill="1">
      <alignment/>
      <protection/>
    </xf>
    <xf numFmtId="0" fontId="73" fillId="43" borderId="0" xfId="64" applyFill="1" applyAlignment="1">
      <alignment horizontal="center"/>
      <protection/>
    </xf>
    <xf numFmtId="0" fontId="73" fillId="43" borderId="0" xfId="64" applyFill="1" applyAlignment="1">
      <alignment wrapText="1"/>
      <protection/>
    </xf>
    <xf numFmtId="0" fontId="73" fillId="43" borderId="0" xfId="64" applyFill="1">
      <alignment/>
      <protection/>
    </xf>
    <xf numFmtId="14" fontId="11" fillId="43" borderId="0" xfId="64" applyNumberFormat="1" applyFont="1" applyFill="1" applyAlignment="1">
      <alignment horizontal="center" wrapText="1"/>
      <protection/>
    </xf>
    <xf numFmtId="0" fontId="11" fillId="43" borderId="0" xfId="64" applyFont="1" applyFill="1" applyAlignment="1">
      <alignment horizontal="center" wrapText="1"/>
      <protection/>
    </xf>
    <xf numFmtId="0" fontId="1" fillId="43" borderId="0" xfId="64" applyFont="1" applyFill="1" applyAlignment="1">
      <alignment horizontal="center"/>
      <protection/>
    </xf>
    <xf numFmtId="0" fontId="1" fillId="43" borderId="0" xfId="64" applyFont="1" applyFill="1" applyAlignment="1">
      <alignment wrapText="1"/>
      <protection/>
    </xf>
    <xf numFmtId="0" fontId="73" fillId="0" borderId="0" xfId="64" applyFont="1" applyAlignment="1">
      <alignment wrapText="1"/>
      <protection/>
    </xf>
    <xf numFmtId="0" fontId="73" fillId="0" borderId="0" xfId="64" applyFont="1" applyAlignment="1">
      <alignment horizontal="center"/>
      <protection/>
    </xf>
    <xf numFmtId="0" fontId="31" fillId="0" borderId="0" xfId="64" applyFont="1" applyAlignment="1">
      <alignment wrapText="1"/>
      <protection/>
    </xf>
    <xf numFmtId="44" fontId="18" fillId="0" borderId="16" xfId="64" applyNumberFormat="1" applyFont="1" applyBorder="1">
      <alignment/>
      <protection/>
    </xf>
    <xf numFmtId="0" fontId="23" fillId="0" borderId="0" xfId="0" applyFont="1" applyFill="1" applyAlignment="1" applyProtection="1">
      <alignment/>
      <protection locked="0"/>
    </xf>
    <xf numFmtId="0" fontId="6" fillId="0" borderId="0" xfId="0" applyFont="1" applyBorder="1" applyAlignment="1">
      <alignment/>
    </xf>
    <xf numFmtId="0" fontId="6" fillId="0" borderId="0" xfId="0" applyFont="1" applyBorder="1" applyAlignment="1">
      <alignment/>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3" fillId="0" borderId="0" xfId="64" applyFont="1" applyFill="1" applyBorder="1" applyAlignment="1" applyProtection="1">
      <alignment wrapText="1"/>
      <protection/>
    </xf>
    <xf numFmtId="0" fontId="3" fillId="0" borderId="11" xfId="0" applyFont="1" applyBorder="1" applyAlignment="1">
      <alignment/>
    </xf>
    <xf numFmtId="0" fontId="4" fillId="35" borderId="12" xfId="0" applyFont="1" applyFill="1" applyBorder="1" applyAlignment="1">
      <alignment wrapText="1"/>
    </xf>
    <xf numFmtId="0" fontId="4" fillId="35" borderId="13" xfId="0" applyFont="1" applyFill="1" applyBorder="1" applyAlignment="1">
      <alignment wrapText="1"/>
    </xf>
    <xf numFmtId="172" fontId="3" fillId="0" borderId="12" xfId="0" applyNumberFormat="1" applyFont="1" applyBorder="1" applyAlignment="1">
      <alignment horizontal="center" vertical="center"/>
    </xf>
    <xf numFmtId="0" fontId="6" fillId="0" borderId="29" xfId="0" applyFont="1" applyFill="1" applyBorder="1" applyAlignment="1">
      <alignment vertical="center" wrapText="1"/>
    </xf>
    <xf numFmtId="0" fontId="0" fillId="0" borderId="11" xfId="0" applyFont="1" applyFill="1" applyBorder="1" applyAlignment="1">
      <alignment horizontal="left" vertical="center"/>
    </xf>
    <xf numFmtId="0" fontId="8" fillId="42" borderId="11" xfId="0" applyFont="1" applyFill="1" applyBorder="1" applyAlignment="1">
      <alignment horizontal="center" vertical="center"/>
    </xf>
    <xf numFmtId="0" fontId="6" fillId="42" borderId="30" xfId="0" applyFont="1" applyFill="1" applyBorder="1" applyAlignment="1" quotePrefix="1">
      <alignment horizontal="center" vertical="center" wrapText="1"/>
    </xf>
    <xf numFmtId="0" fontId="6" fillId="42" borderId="30" xfId="0" applyFont="1" applyFill="1" applyBorder="1" applyAlignment="1">
      <alignment horizontal="center" vertical="center" wrapText="1"/>
    </xf>
    <xf numFmtId="0" fontId="6" fillId="42" borderId="31" xfId="0" applyFont="1" applyFill="1" applyBorder="1" applyAlignment="1" quotePrefix="1">
      <alignment horizontal="center" vertical="center" wrapText="1"/>
    </xf>
    <xf numFmtId="0" fontId="6" fillId="42" borderId="32" xfId="0" applyFont="1" applyFill="1" applyBorder="1" applyAlignment="1">
      <alignment horizontal="center" vertical="center" wrapText="1"/>
    </xf>
    <xf numFmtId="0" fontId="6" fillId="42" borderId="10" xfId="0" applyFont="1" applyFill="1" applyBorder="1" applyAlignment="1" quotePrefix="1">
      <alignment horizontal="center" vertical="center" wrapText="1"/>
    </xf>
    <xf numFmtId="0" fontId="6" fillId="42" borderId="10" xfId="0" applyFont="1" applyFill="1" applyBorder="1" applyAlignment="1">
      <alignment horizontal="center" vertical="center" wrapText="1"/>
    </xf>
    <xf numFmtId="0" fontId="6" fillId="42" borderId="0" xfId="0" applyFont="1" applyFill="1" applyBorder="1" applyAlignment="1" quotePrefix="1">
      <alignment horizontal="center" vertical="center" wrapText="1"/>
    </xf>
    <xf numFmtId="0" fontId="6" fillId="42" borderId="32" xfId="0" applyFont="1" applyFill="1" applyBorder="1" applyAlignment="1" quotePrefix="1">
      <alignment horizontal="center" vertical="center" wrapText="1"/>
    </xf>
    <xf numFmtId="0" fontId="8" fillId="42" borderId="12" xfId="0" applyFont="1" applyFill="1" applyBorder="1" applyAlignment="1">
      <alignment horizontal="center" vertical="center"/>
    </xf>
    <xf numFmtId="0" fontId="8" fillId="42" borderId="25" xfId="0" applyFont="1" applyFill="1" applyBorder="1" applyAlignment="1">
      <alignment horizontal="center" vertical="center"/>
    </xf>
    <xf numFmtId="0" fontId="6" fillId="42" borderId="33" xfId="0" applyFont="1" applyFill="1" applyBorder="1" applyAlignment="1">
      <alignment horizontal="center" vertical="center" wrapText="1"/>
    </xf>
    <xf numFmtId="44" fontId="4" fillId="0" borderId="27" xfId="0" applyNumberFormat="1" applyFont="1" applyBorder="1" applyAlignment="1" applyProtection="1">
      <alignment horizontal="center" vertical="center"/>
      <protection locked="0"/>
    </xf>
    <xf numFmtId="167" fontId="0" fillId="0" borderId="23" xfId="45" applyNumberFormat="1" applyFont="1" applyBorder="1" applyAlignment="1">
      <alignment vertical="center" wrapText="1"/>
    </xf>
    <xf numFmtId="167" fontId="0" fillId="0" borderId="23" xfId="45" applyNumberFormat="1" applyFont="1" applyBorder="1" applyAlignment="1">
      <alignment vertical="center"/>
    </xf>
    <xf numFmtId="0" fontId="4" fillId="35" borderId="34" xfId="0" applyFont="1" applyFill="1" applyBorder="1" applyAlignment="1">
      <alignment horizontal="center" vertical="center" wrapText="1"/>
    </xf>
    <xf numFmtId="49" fontId="0" fillId="0" borderId="0" xfId="0" applyNumberFormat="1" applyFont="1" applyAlignment="1">
      <alignment horizontal="right"/>
    </xf>
    <xf numFmtId="0" fontId="3" fillId="0" borderId="0" xfId="0" applyFont="1" applyBorder="1" applyAlignment="1">
      <alignment horizontal="center"/>
    </xf>
    <xf numFmtId="0" fontId="16" fillId="44" borderId="0" xfId="0" applyFont="1" applyFill="1" applyAlignment="1">
      <alignment vertical="center"/>
    </xf>
    <xf numFmtId="43" fontId="0" fillId="0" borderId="32" xfId="0" applyNumberFormat="1" applyFont="1" applyBorder="1" applyAlignment="1">
      <alignment horizontal="center" vertical="center" wrapText="1"/>
    </xf>
    <xf numFmtId="2" fontId="0" fillId="0" borderId="32" xfId="0" applyNumberFormat="1" applyFont="1" applyBorder="1" applyAlignment="1">
      <alignment horizontal="center" vertical="center"/>
    </xf>
    <xf numFmtId="0" fontId="3" fillId="0" borderId="23" xfId="0" applyFont="1" applyBorder="1" applyAlignment="1">
      <alignment horizontal="center" vertical="center"/>
    </xf>
    <xf numFmtId="0" fontId="6" fillId="0" borderId="23" xfId="0" applyFont="1" applyBorder="1" applyAlignment="1">
      <alignment horizontal="center" vertical="top" wrapText="1"/>
    </xf>
    <xf numFmtId="0" fontId="3" fillId="0" borderId="20" xfId="0" applyFont="1" applyBorder="1" applyAlignment="1">
      <alignment horizontal="center" vertical="center"/>
    </xf>
    <xf numFmtId="0" fontId="6" fillId="0" borderId="20" xfId="0" applyFont="1" applyBorder="1" applyAlignment="1">
      <alignment horizontal="center" vertical="top" wrapText="1"/>
    </xf>
    <xf numFmtId="2" fontId="0" fillId="0" borderId="32" xfId="0" applyNumberFormat="1" applyFont="1" applyBorder="1" applyAlignment="1">
      <alignment horizontal="center" vertical="center" wrapText="1"/>
    </xf>
    <xf numFmtId="0" fontId="0" fillId="0" borderId="32" xfId="0" applyFont="1" applyBorder="1" applyAlignment="1">
      <alignment horizontal="center" vertical="center" wrapText="1"/>
    </xf>
    <xf numFmtId="3" fontId="0" fillId="0" borderId="35" xfId="0" applyNumberFormat="1" applyFont="1" applyBorder="1" applyAlignment="1">
      <alignment horizontal="center" vertical="center"/>
    </xf>
    <xf numFmtId="2" fontId="0" fillId="0" borderId="14" xfId="0" applyNumberFormat="1" applyFont="1" applyBorder="1" applyAlignment="1">
      <alignment horizontal="center" vertical="center"/>
    </xf>
    <xf numFmtId="37" fontId="0" fillId="0" borderId="32" xfId="0" applyNumberFormat="1" applyFont="1" applyBorder="1" applyAlignment="1">
      <alignment horizontal="center" vertical="center"/>
    </xf>
    <xf numFmtId="7" fontId="0" fillId="0" borderId="36" xfId="0" applyNumberFormat="1" applyFont="1" applyBorder="1" applyAlignment="1">
      <alignment horizontal="center" vertical="center"/>
    </xf>
    <xf numFmtId="0" fontId="3" fillId="35" borderId="23" xfId="0" applyFont="1" applyFill="1" applyBorder="1" applyAlignment="1">
      <alignment horizontal="center" vertical="center"/>
    </xf>
    <xf numFmtId="0" fontId="3" fillId="0" borderId="23" xfId="0" applyFont="1" applyBorder="1" applyAlignment="1">
      <alignment/>
    </xf>
    <xf numFmtId="0" fontId="33" fillId="45" borderId="0" xfId="0" applyFont="1" applyFill="1" applyAlignment="1">
      <alignment/>
    </xf>
    <xf numFmtId="2" fontId="33" fillId="46" borderId="32" xfId="0" applyNumberFormat="1" applyFont="1" applyFill="1" applyBorder="1" applyAlignment="1">
      <alignment horizontal="center" vertical="center"/>
    </xf>
    <xf numFmtId="2" fontId="33" fillId="47" borderId="32" xfId="0" applyNumberFormat="1" applyFont="1" applyFill="1" applyBorder="1" applyAlignment="1">
      <alignment horizontal="center" vertical="center"/>
    </xf>
    <xf numFmtId="0" fontId="0" fillId="47" borderId="17" xfId="0" applyFill="1" applyBorder="1" applyAlignment="1">
      <alignment/>
    </xf>
    <xf numFmtId="0" fontId="33" fillId="48" borderId="17" xfId="0" applyFont="1" applyFill="1" applyBorder="1" applyAlignment="1">
      <alignment/>
    </xf>
    <xf numFmtId="0" fontId="0" fillId="48" borderId="17" xfId="0" applyFill="1" applyBorder="1" applyAlignment="1">
      <alignment/>
    </xf>
    <xf numFmtId="0" fontId="33" fillId="0" borderId="0" xfId="0" applyFont="1" applyFill="1" applyAlignment="1">
      <alignment/>
    </xf>
    <xf numFmtId="170" fontId="0" fillId="0" borderId="0" xfId="51" applyNumberFormat="1" applyFont="1" applyFill="1" applyAlignment="1">
      <alignment/>
      <protection/>
    </xf>
    <xf numFmtId="169" fontId="0" fillId="0" borderId="0" xfId="51" applyNumberFormat="1" applyFont="1" applyFill="1" applyAlignment="1">
      <alignment/>
      <protection/>
    </xf>
    <xf numFmtId="2" fontId="3" fillId="0" borderId="0" xfId="0" applyNumberFormat="1" applyFont="1" applyAlignment="1">
      <alignment/>
    </xf>
    <xf numFmtId="14" fontId="3" fillId="0" borderId="0" xfId="0" applyNumberFormat="1" applyFont="1" applyAlignment="1">
      <alignment/>
    </xf>
    <xf numFmtId="0" fontId="32" fillId="0" borderId="0" xfId="0" applyFont="1" applyAlignment="1">
      <alignment/>
    </xf>
    <xf numFmtId="2" fontId="0" fillId="30" borderId="0" xfId="51" applyNumberFormat="1" applyFont="1" applyAlignment="1">
      <alignment/>
      <protection/>
    </xf>
    <xf numFmtId="0" fontId="8" fillId="0" borderId="0" xfId="0" applyFont="1" applyAlignment="1">
      <alignment/>
    </xf>
    <xf numFmtId="2" fontId="33" fillId="48" borderId="32" xfId="0" applyNumberFormat="1" applyFont="1" applyFill="1" applyBorder="1" applyAlignment="1">
      <alignment horizontal="center" vertical="center"/>
    </xf>
    <xf numFmtId="2" fontId="0" fillId="0" borderId="0" xfId="51" applyNumberFormat="1" applyFont="1" applyFill="1" applyAlignment="1">
      <alignment/>
      <protection/>
    </xf>
    <xf numFmtId="39" fontId="4" fillId="0" borderId="11" xfId="42" applyNumberFormat="1" applyFont="1" applyFill="1" applyBorder="1" applyAlignment="1" applyProtection="1">
      <alignment horizontal="center" vertical="center"/>
      <protection locked="0"/>
    </xf>
    <xf numFmtId="39" fontId="4" fillId="0" borderId="11" xfId="42" applyNumberFormat="1" applyFont="1" applyBorder="1" applyAlignment="1" applyProtection="1">
      <alignment horizontal="center" vertical="center"/>
      <protection locked="0"/>
    </xf>
    <xf numFmtId="0" fontId="0" fillId="49" borderId="26" xfId="0" applyFill="1" applyBorder="1" applyAlignment="1">
      <alignment/>
    </xf>
    <xf numFmtId="0" fontId="3" fillId="0" borderId="0" xfId="0" applyFont="1" applyAlignment="1">
      <alignment vertical="center"/>
    </xf>
    <xf numFmtId="0" fontId="3" fillId="0" borderId="0" xfId="0" applyFont="1" applyAlignment="1">
      <alignment vertical="center"/>
    </xf>
    <xf numFmtId="5" fontId="91" fillId="0" borderId="0" xfId="64" applyNumberFormat="1" applyFont="1">
      <alignment/>
      <protection/>
    </xf>
    <xf numFmtId="0" fontId="91" fillId="0" borderId="0" xfId="64" applyFont="1">
      <alignment/>
      <protection/>
    </xf>
    <xf numFmtId="0" fontId="3" fillId="0" borderId="0" xfId="0" applyFont="1" applyAlignment="1">
      <alignment horizontal="center" vertical="top"/>
    </xf>
    <xf numFmtId="0" fontId="3" fillId="0" borderId="0" xfId="0" applyFont="1" applyFill="1" applyBorder="1" applyAlignment="1">
      <alignment horizontal="left" vertical="center"/>
    </xf>
    <xf numFmtId="0" fontId="8" fillId="0" borderId="0" xfId="0" applyFont="1" applyBorder="1" applyAlignment="1">
      <alignment/>
    </xf>
    <xf numFmtId="0" fontId="0" fillId="0" borderId="0" xfId="0" applyFont="1" applyAlignment="1">
      <alignment/>
    </xf>
    <xf numFmtId="0" fontId="0" fillId="0" borderId="0" xfId="0" applyAlignment="1">
      <alignment horizontal="center" vertical="top"/>
    </xf>
    <xf numFmtId="0" fontId="0" fillId="0" borderId="0" xfId="0" applyFont="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xf>
    <xf numFmtId="0" fontId="4" fillId="0" borderId="0" xfId="0" applyFont="1" applyAlignment="1" quotePrefix="1">
      <alignment horizontal="left"/>
    </xf>
    <xf numFmtId="0" fontId="3" fillId="0" borderId="0" xfId="0" applyFont="1" applyBorder="1" applyAlignment="1">
      <alignment horizontal="left"/>
    </xf>
    <xf numFmtId="0" fontId="0" fillId="0" borderId="0" xfId="0" applyAlignment="1">
      <alignment vertical="top"/>
    </xf>
    <xf numFmtId="0" fontId="0" fillId="0" borderId="0" xfId="0" applyFont="1" applyAlignment="1">
      <alignment vertical="top"/>
    </xf>
    <xf numFmtId="2" fontId="0" fillId="0" borderId="32" xfId="0" applyNumberFormat="1" applyFont="1" applyBorder="1" applyAlignment="1">
      <alignment horizontal="center" vertical="center"/>
    </xf>
    <xf numFmtId="3" fontId="0" fillId="0" borderId="35" xfId="0" applyNumberFormat="1" applyFont="1" applyBorder="1" applyAlignment="1">
      <alignment horizontal="center" vertical="center"/>
    </xf>
    <xf numFmtId="7" fontId="0" fillId="0" borderId="36" xfId="0" applyNumberFormat="1" applyFont="1" applyBorder="1" applyAlignment="1">
      <alignment horizontal="center" vertical="center"/>
    </xf>
    <xf numFmtId="0" fontId="4" fillId="36" borderId="14" xfId="64" applyFont="1" applyFill="1" applyBorder="1" applyAlignment="1" applyProtection="1">
      <alignment/>
      <protection locked="0"/>
    </xf>
    <xf numFmtId="169" fontId="0" fillId="30" borderId="0" xfId="51" applyNumberFormat="1" applyFont="1" applyAlignment="1" applyProtection="1">
      <alignment/>
      <protection locked="0"/>
    </xf>
    <xf numFmtId="170" fontId="0" fillId="30" borderId="0" xfId="51" applyNumberFormat="1" applyFont="1" applyAlignment="1" applyProtection="1">
      <alignment/>
      <protection locked="0"/>
    </xf>
    <xf numFmtId="0" fontId="4" fillId="36" borderId="14" xfId="64" applyFont="1" applyFill="1" applyBorder="1" applyAlignment="1" applyProtection="1">
      <alignment/>
      <protection/>
    </xf>
    <xf numFmtId="0" fontId="0" fillId="0" borderId="0" xfId="0" applyFont="1" applyAlignment="1">
      <alignment horizontal="left"/>
    </xf>
    <xf numFmtId="44" fontId="73" fillId="0" borderId="0" xfId="64" applyNumberFormat="1">
      <alignment/>
      <protection/>
    </xf>
    <xf numFmtId="0" fontId="3" fillId="35" borderId="37" xfId="0" applyFont="1" applyFill="1" applyBorder="1" applyAlignment="1">
      <alignment horizontal="center" vertical="center"/>
    </xf>
    <xf numFmtId="0" fontId="3" fillId="35" borderId="38" xfId="0" applyFont="1" applyFill="1" applyBorder="1" applyAlignment="1">
      <alignment horizontal="center" vertical="center"/>
    </xf>
    <xf numFmtId="166" fontId="18" fillId="0" borderId="16" xfId="44" applyNumberFormat="1" applyFont="1" applyBorder="1" applyAlignment="1">
      <alignment horizontal="right"/>
    </xf>
    <xf numFmtId="43" fontId="3" fillId="34" borderId="11" xfId="42"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164" fontId="3" fillId="34" borderId="11" xfId="0" applyNumberFormat="1" applyFont="1" applyFill="1" applyBorder="1" applyAlignment="1" applyProtection="1">
      <alignment horizontal="center" vertical="center"/>
      <protection locked="0"/>
    </xf>
    <xf numFmtId="166" fontId="3" fillId="34" borderId="11" xfId="42" applyNumberFormat="1" applyFont="1" applyFill="1" applyBorder="1" applyAlignment="1" applyProtection="1">
      <alignment horizontal="center" vertical="center"/>
      <protection locked="0"/>
    </xf>
    <xf numFmtId="44" fontId="3" fillId="34" borderId="11" xfId="0" applyNumberFormat="1" applyFont="1" applyFill="1" applyBorder="1" applyAlignment="1" applyProtection="1">
      <alignment horizontal="center" vertical="center"/>
      <protection locked="0"/>
    </xf>
    <xf numFmtId="0" fontId="37" fillId="34" borderId="11" xfId="0" applyFont="1" applyFill="1" applyBorder="1" applyAlignment="1" applyProtection="1">
      <alignment horizontal="center" vertical="center"/>
      <protection locked="0"/>
    </xf>
    <xf numFmtId="39" fontId="37" fillId="34" borderId="11" xfId="42" applyNumberFormat="1" applyFont="1" applyFill="1" applyBorder="1" applyAlignment="1" applyProtection="1">
      <alignment horizontal="center" vertical="center"/>
      <protection locked="0"/>
    </xf>
    <xf numFmtId="0" fontId="37" fillId="34" borderId="12" xfId="0" applyFont="1" applyFill="1" applyBorder="1" applyAlignment="1" applyProtection="1">
      <alignment horizontal="center" vertical="center"/>
      <protection locked="0"/>
    </xf>
    <xf numFmtId="0" fontId="37" fillId="34" borderId="39" xfId="0" applyFont="1" applyFill="1" applyBorder="1" applyAlignment="1" applyProtection="1">
      <alignment horizontal="center" vertical="center"/>
      <protection locked="0"/>
    </xf>
    <xf numFmtId="39" fontId="37" fillId="34" borderId="39" xfId="42" applyNumberFormat="1" applyFont="1" applyFill="1" applyBorder="1" applyAlignment="1" applyProtection="1">
      <alignment horizontal="center" vertical="center"/>
      <protection locked="0"/>
    </xf>
    <xf numFmtId="0" fontId="37" fillId="34" borderId="40" xfId="0" applyFont="1" applyFill="1" applyBorder="1" applyAlignment="1" applyProtection="1">
      <alignment horizontal="center" vertical="center"/>
      <protection locked="0"/>
    </xf>
    <xf numFmtId="49" fontId="37" fillId="34" borderId="11" xfId="0" applyNumberFormat="1" applyFont="1" applyFill="1" applyBorder="1" applyAlignment="1" applyProtection="1">
      <alignment horizontal="center" vertical="center" wrapText="1"/>
      <protection locked="0"/>
    </xf>
    <xf numFmtId="0" fontId="3" fillId="34" borderId="27" xfId="0" applyFont="1" applyFill="1" applyBorder="1" applyAlignment="1" applyProtection="1">
      <alignment horizontal="center" vertical="center"/>
      <protection locked="0"/>
    </xf>
    <xf numFmtId="43" fontId="3" fillId="34" borderId="39" xfId="42" applyFont="1" applyFill="1" applyBorder="1" applyAlignment="1" applyProtection="1">
      <alignment horizontal="center" vertical="center"/>
      <protection locked="0"/>
    </xf>
    <xf numFmtId="0" fontId="3" fillId="34" borderId="41" xfId="0" applyFont="1" applyFill="1" applyBorder="1" applyAlignment="1" applyProtection="1">
      <alignment horizontal="center" vertical="center"/>
      <protection locked="0"/>
    </xf>
    <xf numFmtId="0" fontId="3" fillId="34" borderId="25" xfId="0" applyFont="1" applyFill="1" applyBorder="1" applyAlignment="1" applyProtection="1">
      <alignment horizontal="center" vertical="center"/>
      <protection locked="0"/>
    </xf>
    <xf numFmtId="44" fontId="3" fillId="34" borderId="27" xfId="0" applyNumberFormat="1" applyFont="1" applyFill="1" applyBorder="1" applyAlignment="1" applyProtection="1">
      <alignment horizontal="center" vertical="center"/>
      <protection locked="0"/>
    </xf>
    <xf numFmtId="0" fontId="3" fillId="34" borderId="42" xfId="0" applyFont="1" applyFill="1" applyBorder="1" applyAlignment="1" applyProtection="1">
      <alignment horizontal="center" vertical="center"/>
      <protection locked="0"/>
    </xf>
    <xf numFmtId="0" fontId="3" fillId="34" borderId="39" xfId="0" applyFont="1" applyFill="1" applyBorder="1" applyAlignment="1" applyProtection="1">
      <alignment horizontal="center" vertical="center"/>
      <protection locked="0"/>
    </xf>
    <xf numFmtId="164" fontId="3" fillId="34" borderId="39" xfId="0" applyNumberFormat="1" applyFont="1" applyFill="1" applyBorder="1" applyAlignment="1" applyProtection="1">
      <alignment horizontal="center" vertical="center"/>
      <protection locked="0"/>
    </xf>
    <xf numFmtId="166" fontId="3" fillId="34" borderId="39" xfId="42" applyNumberFormat="1" applyFont="1" applyFill="1" applyBorder="1" applyAlignment="1" applyProtection="1">
      <alignment horizontal="center" vertical="center"/>
      <protection locked="0"/>
    </xf>
    <xf numFmtId="44" fontId="3" fillId="34" borderId="39" xfId="0" applyNumberFormat="1" applyFont="1" applyFill="1" applyBorder="1" applyAlignment="1" applyProtection="1">
      <alignment horizontal="center" vertical="center"/>
      <protection locked="0"/>
    </xf>
    <xf numFmtId="44" fontId="3" fillId="34" borderId="41" xfId="0" applyNumberFormat="1" applyFont="1" applyFill="1" applyBorder="1" applyAlignment="1" applyProtection="1">
      <alignment horizontal="center" vertical="center"/>
      <protection locked="0"/>
    </xf>
    <xf numFmtId="0" fontId="37" fillId="34" borderId="11" xfId="46" applyNumberFormat="1" applyFont="1" applyFill="1" applyBorder="1" applyAlignment="1" applyProtection="1">
      <alignment horizontal="center" vertical="center"/>
      <protection locked="0"/>
    </xf>
    <xf numFmtId="44" fontId="37" fillId="34" borderId="11" xfId="46" applyFont="1" applyFill="1" applyBorder="1" applyAlignment="1" applyProtection="1">
      <alignment horizontal="center" vertical="center"/>
      <protection locked="0"/>
    </xf>
    <xf numFmtId="0" fontId="37" fillId="34" borderId="11" xfId="0" applyNumberFormat="1" applyFont="1" applyFill="1" applyBorder="1" applyAlignment="1" applyProtection="1">
      <alignment horizontal="center" vertical="center"/>
      <protection locked="0"/>
    </xf>
    <xf numFmtId="0" fontId="37" fillId="34" borderId="39" xfId="46" applyNumberFormat="1" applyFont="1" applyFill="1" applyBorder="1" applyAlignment="1" applyProtection="1">
      <alignment horizontal="center" vertical="center"/>
      <protection locked="0"/>
    </xf>
    <xf numFmtId="44" fontId="37" fillId="34" borderId="39" xfId="46" applyFont="1" applyFill="1" applyBorder="1" applyAlignment="1" applyProtection="1">
      <alignment horizontal="center" vertical="center"/>
      <protection locked="0"/>
    </xf>
    <xf numFmtId="0" fontId="37" fillId="34" borderId="39" xfId="0" applyNumberFormat="1" applyFont="1" applyFill="1" applyBorder="1" applyAlignment="1" applyProtection="1">
      <alignment horizontal="center" vertical="center"/>
      <protection locked="0"/>
    </xf>
    <xf numFmtId="0" fontId="37" fillId="34" borderId="25" xfId="0" applyFont="1" applyFill="1" applyBorder="1" applyAlignment="1" applyProtection="1">
      <alignment horizontal="center" vertical="center"/>
      <protection locked="0"/>
    </xf>
    <xf numFmtId="0" fontId="37" fillId="34" borderId="42" xfId="0" applyFont="1" applyFill="1" applyBorder="1" applyAlignment="1" applyProtection="1">
      <alignment horizontal="center" vertical="center"/>
      <protection locked="0"/>
    </xf>
    <xf numFmtId="49" fontId="37" fillId="34" borderId="39" xfId="0" applyNumberFormat="1" applyFont="1" applyFill="1" applyBorder="1" applyAlignment="1" applyProtection="1">
      <alignment horizontal="center" vertical="center" wrapText="1"/>
      <protection locked="0"/>
    </xf>
    <xf numFmtId="49" fontId="9" fillId="0" borderId="25"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27" xfId="0" applyNumberFormat="1" applyFont="1" applyFill="1" applyBorder="1" applyAlignment="1">
      <alignment horizontal="center" vertical="center"/>
    </xf>
    <xf numFmtId="0" fontId="9" fillId="0" borderId="2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7" xfId="0" applyFont="1" applyFill="1" applyBorder="1" applyAlignment="1">
      <alignment horizontal="center" vertical="center"/>
    </xf>
    <xf numFmtId="0" fontId="6" fillId="0" borderId="25"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27" xfId="0" applyFont="1" applyFill="1" applyBorder="1" applyAlignment="1">
      <alignment horizontal="center" vertical="top" wrapText="1"/>
    </xf>
    <xf numFmtId="168" fontId="3" fillId="0" borderId="39" xfId="0" applyNumberFormat="1" applyFont="1" applyFill="1" applyBorder="1" applyAlignment="1">
      <alignment horizontal="center" vertical="center"/>
    </xf>
    <xf numFmtId="44" fontId="3" fillId="0" borderId="11" xfId="0" applyNumberFormat="1" applyFont="1" applyFill="1" applyBorder="1" applyAlignment="1">
      <alignment horizontal="center" vertical="center"/>
    </xf>
    <xf numFmtId="43" fontId="3" fillId="0" borderId="11" xfId="42" applyFont="1" applyFill="1" applyBorder="1" applyAlignment="1">
      <alignment horizontal="center" vertical="center"/>
    </xf>
    <xf numFmtId="44" fontId="3" fillId="0" borderId="27" xfId="0" applyNumberFormat="1" applyFont="1" applyFill="1" applyBorder="1" applyAlignment="1">
      <alignment horizontal="center" vertical="center"/>
    </xf>
    <xf numFmtId="44" fontId="3" fillId="0" borderId="39" xfId="0" applyNumberFormat="1" applyFont="1" applyFill="1" applyBorder="1" applyAlignment="1">
      <alignment horizontal="center" vertical="center"/>
    </xf>
    <xf numFmtId="43" fontId="3" fillId="0" borderId="39" xfId="42" applyFont="1" applyFill="1" applyBorder="1" applyAlignment="1">
      <alignment horizontal="center" vertical="center"/>
    </xf>
    <xf numFmtId="44" fontId="3" fillId="0" borderId="41" xfId="0" applyNumberFormat="1" applyFont="1" applyFill="1" applyBorder="1" applyAlignment="1">
      <alignment horizontal="center" vertical="center"/>
    </xf>
    <xf numFmtId="0" fontId="8" fillId="0" borderId="2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7" xfId="0" applyFont="1" applyFill="1" applyBorder="1" applyAlignment="1">
      <alignment horizontal="center" vertical="center"/>
    </xf>
    <xf numFmtId="0" fontId="6" fillId="0" borderId="12" xfId="0" applyFont="1" applyFill="1" applyBorder="1" applyAlignment="1">
      <alignment horizontal="center" vertical="top" wrapText="1"/>
    </xf>
    <xf numFmtId="0" fontId="37" fillId="0" borderId="25" xfId="0" applyFont="1" applyFill="1" applyBorder="1" applyAlignment="1" applyProtection="1" quotePrefix="1">
      <alignment vertical="center"/>
      <protection/>
    </xf>
    <xf numFmtId="2" fontId="37" fillId="0" borderId="11" xfId="0" applyNumberFormat="1" applyFont="1" applyFill="1" applyBorder="1" applyAlignment="1" applyProtection="1">
      <alignment horizontal="center" vertical="center"/>
      <protection/>
    </xf>
    <xf numFmtId="2" fontId="37" fillId="0" borderId="39" xfId="0" applyNumberFormat="1" applyFont="1" applyFill="1" applyBorder="1" applyAlignment="1" applyProtection="1">
      <alignment horizontal="center" vertical="center"/>
      <protection/>
    </xf>
    <xf numFmtId="39" fontId="37" fillId="0" borderId="11" xfId="0" applyNumberFormat="1" applyFont="1" applyFill="1" applyBorder="1" applyAlignment="1">
      <alignment horizontal="center" vertical="center" wrapText="1"/>
    </xf>
    <xf numFmtId="39" fontId="37" fillId="0" borderId="39" xfId="0" applyNumberFormat="1" applyFont="1" applyFill="1" applyBorder="1" applyAlignment="1">
      <alignment horizontal="center" vertical="center" wrapText="1"/>
    </xf>
    <xf numFmtId="44" fontId="37" fillId="0" borderId="25" xfId="46" applyFont="1" applyFill="1" applyBorder="1" applyAlignment="1">
      <alignment horizontal="right" vertical="center"/>
    </xf>
    <xf numFmtId="44" fontId="37" fillId="0" borderId="11" xfId="46" applyFont="1" applyFill="1" applyBorder="1" applyAlignment="1">
      <alignment horizontal="right" vertical="center"/>
    </xf>
    <xf numFmtId="39" fontId="37" fillId="0" borderId="11" xfId="46" applyNumberFormat="1" applyFont="1" applyFill="1" applyBorder="1" applyAlignment="1">
      <alignment horizontal="right" vertical="center"/>
    </xf>
    <xf numFmtId="44" fontId="37" fillId="0" borderId="27" xfId="46" applyFont="1" applyFill="1" applyBorder="1" applyAlignment="1">
      <alignment horizontal="right" vertical="center"/>
    </xf>
    <xf numFmtId="44" fontId="37" fillId="0" borderId="42" xfId="46" applyFont="1" applyFill="1" applyBorder="1" applyAlignment="1">
      <alignment horizontal="right" vertical="center"/>
    </xf>
    <xf numFmtId="44" fontId="37" fillId="0" borderId="39" xfId="46" applyFont="1" applyFill="1" applyBorder="1" applyAlignment="1">
      <alignment horizontal="right" vertical="center"/>
    </xf>
    <xf numFmtId="39" fontId="37" fillId="0" borderId="39" xfId="46" applyNumberFormat="1" applyFont="1" applyFill="1" applyBorder="1" applyAlignment="1">
      <alignment horizontal="right" vertical="center"/>
    </xf>
    <xf numFmtId="44" fontId="37" fillId="0" borderId="41" xfId="46" applyFont="1" applyFill="1" applyBorder="1" applyAlignment="1">
      <alignment horizontal="right" vertical="center"/>
    </xf>
    <xf numFmtId="0" fontId="37" fillId="0" borderId="42" xfId="0" applyFont="1" applyFill="1" applyBorder="1" applyAlignment="1" applyProtection="1" quotePrefix="1">
      <alignment vertical="center"/>
      <protection/>
    </xf>
    <xf numFmtId="7" fontId="0" fillId="0" borderId="0" xfId="0" applyNumberFormat="1" applyFont="1" applyBorder="1" applyAlignment="1">
      <alignment vertical="center"/>
    </xf>
    <xf numFmtId="0" fontId="33" fillId="46" borderId="20" xfId="0" applyFont="1" applyFill="1" applyBorder="1" applyAlignment="1">
      <alignment/>
    </xf>
    <xf numFmtId="0" fontId="0" fillId="46" borderId="22" xfId="0" applyFill="1" applyBorder="1" applyAlignment="1">
      <alignment/>
    </xf>
    <xf numFmtId="0" fontId="33" fillId="46" borderId="22" xfId="0" applyFont="1" applyFill="1" applyBorder="1" applyAlignment="1">
      <alignment horizontal="center"/>
    </xf>
    <xf numFmtId="0" fontId="33" fillId="46" borderId="43" xfId="0" applyFont="1" applyFill="1" applyBorder="1" applyAlignment="1">
      <alignment horizontal="center"/>
    </xf>
    <xf numFmtId="0" fontId="0" fillId="46" borderId="44" xfId="0" applyFill="1" applyBorder="1" applyAlignment="1">
      <alignment/>
    </xf>
    <xf numFmtId="0" fontId="33" fillId="46" borderId="0" xfId="0" applyFont="1" applyFill="1" applyBorder="1" applyAlignment="1">
      <alignment horizontal="right" vertical="center"/>
    </xf>
    <xf numFmtId="167" fontId="34" fillId="46" borderId="35" xfId="44" applyNumberFormat="1" applyFont="1" applyFill="1" applyBorder="1" applyAlignment="1">
      <alignment horizontal="center" vertical="center"/>
    </xf>
    <xf numFmtId="0" fontId="0" fillId="46" borderId="45" xfId="0" applyFill="1" applyBorder="1" applyAlignment="1">
      <alignment/>
    </xf>
    <xf numFmtId="0" fontId="33" fillId="46" borderId="17" xfId="0" applyFont="1" applyFill="1" applyBorder="1" applyAlignment="1">
      <alignment horizontal="right" vertical="center"/>
    </xf>
    <xf numFmtId="172" fontId="33" fillId="46" borderId="17" xfId="0" applyNumberFormat="1" applyFont="1" applyFill="1" applyBorder="1" applyAlignment="1">
      <alignment horizontal="center" vertical="center"/>
    </xf>
    <xf numFmtId="172" fontId="33" fillId="46" borderId="41" xfId="0" applyNumberFormat="1" applyFont="1" applyFill="1" applyBorder="1" applyAlignment="1">
      <alignment horizontal="center" vertical="center"/>
    </xf>
    <xf numFmtId="0" fontId="33" fillId="47" borderId="20" xfId="0" applyFont="1" applyFill="1" applyBorder="1" applyAlignment="1">
      <alignment/>
    </xf>
    <xf numFmtId="0" fontId="0" fillId="47" borderId="22" xfId="0" applyFill="1" applyBorder="1" applyAlignment="1">
      <alignment/>
    </xf>
    <xf numFmtId="0" fontId="33" fillId="47" borderId="22" xfId="0" applyFont="1" applyFill="1" applyBorder="1" applyAlignment="1">
      <alignment horizontal="center"/>
    </xf>
    <xf numFmtId="0" fontId="33" fillId="47" borderId="43" xfId="0" applyFont="1" applyFill="1" applyBorder="1" applyAlignment="1">
      <alignment horizontal="center"/>
    </xf>
    <xf numFmtId="0" fontId="0" fillId="47" borderId="44" xfId="0" applyFill="1" applyBorder="1" applyAlignment="1">
      <alignment/>
    </xf>
    <xf numFmtId="0" fontId="0" fillId="47" borderId="0" xfId="0" applyFill="1" applyBorder="1" applyAlignment="1">
      <alignment/>
    </xf>
    <xf numFmtId="0" fontId="33" fillId="47" borderId="0" xfId="0" applyFont="1" applyFill="1" applyBorder="1" applyAlignment="1">
      <alignment horizontal="right" vertical="center"/>
    </xf>
    <xf numFmtId="167" fontId="34" fillId="47" borderId="35" xfId="44" applyNumberFormat="1" applyFont="1" applyFill="1" applyBorder="1" applyAlignment="1">
      <alignment horizontal="center" vertical="center"/>
    </xf>
    <xf numFmtId="0" fontId="0" fillId="47" borderId="45" xfId="0" applyFill="1" applyBorder="1" applyAlignment="1">
      <alignment/>
    </xf>
    <xf numFmtId="0" fontId="33" fillId="47" borderId="17" xfId="0" applyFont="1" applyFill="1" applyBorder="1" applyAlignment="1">
      <alignment horizontal="right" vertical="center"/>
    </xf>
    <xf numFmtId="172" fontId="33" fillId="47" borderId="17" xfId="0" applyNumberFormat="1" applyFont="1" applyFill="1" applyBorder="1" applyAlignment="1">
      <alignment horizontal="center" vertical="center"/>
    </xf>
    <xf numFmtId="172" fontId="33" fillId="47" borderId="41" xfId="0" applyNumberFormat="1" applyFont="1" applyFill="1" applyBorder="1" applyAlignment="1">
      <alignment horizontal="center" vertical="center"/>
    </xf>
    <xf numFmtId="0" fontId="33" fillId="48" borderId="20" xfId="0" applyFont="1" applyFill="1" applyBorder="1" applyAlignment="1">
      <alignment/>
    </xf>
    <xf numFmtId="0" fontId="0" fillId="48" borderId="22" xfId="0" applyFill="1" applyBorder="1" applyAlignment="1">
      <alignment/>
    </xf>
    <xf numFmtId="0" fontId="33" fillId="48" borderId="22" xfId="0" applyFont="1" applyFill="1" applyBorder="1" applyAlignment="1">
      <alignment horizontal="center"/>
    </xf>
    <xf numFmtId="0" fontId="33" fillId="48" borderId="43" xfId="0" applyFont="1" applyFill="1" applyBorder="1" applyAlignment="1">
      <alignment horizontal="center"/>
    </xf>
    <xf numFmtId="0" fontId="0" fillId="48" borderId="44" xfId="0" applyFont="1" applyFill="1" applyBorder="1" applyAlignment="1">
      <alignment/>
    </xf>
    <xf numFmtId="0" fontId="0" fillId="48" borderId="0" xfId="0" applyFill="1" applyBorder="1" applyAlignment="1">
      <alignment/>
    </xf>
    <xf numFmtId="0" fontId="33" fillId="48" borderId="0" xfId="0" applyFont="1" applyFill="1" applyBorder="1" applyAlignment="1">
      <alignment horizontal="right" vertical="center"/>
    </xf>
    <xf numFmtId="167" fontId="33" fillId="48" borderId="35" xfId="0" applyNumberFormat="1" applyFont="1" applyFill="1" applyBorder="1" applyAlignment="1">
      <alignment horizontal="center" vertical="center"/>
    </xf>
    <xf numFmtId="0" fontId="0" fillId="48" borderId="45" xfId="0" applyFill="1" applyBorder="1" applyAlignment="1">
      <alignment/>
    </xf>
    <xf numFmtId="0" fontId="33" fillId="48" borderId="17" xfId="0" applyFont="1" applyFill="1" applyBorder="1" applyAlignment="1">
      <alignment horizontal="right" vertical="center"/>
    </xf>
    <xf numFmtId="172" fontId="33" fillId="48" borderId="41" xfId="0" applyNumberFormat="1" applyFont="1" applyFill="1" applyBorder="1" applyAlignment="1">
      <alignment horizontal="center" vertical="center"/>
    </xf>
    <xf numFmtId="0" fontId="2" fillId="35" borderId="20" xfId="0" applyFont="1" applyFill="1" applyBorder="1" applyAlignment="1">
      <alignment vertical="center"/>
    </xf>
    <xf numFmtId="0" fontId="2" fillId="35" borderId="22" xfId="0" applyFont="1" applyFill="1" applyBorder="1" applyAlignment="1">
      <alignment vertical="center"/>
    </xf>
    <xf numFmtId="0" fontId="2" fillId="35" borderId="43" xfId="0" applyFont="1" applyFill="1" applyBorder="1" applyAlignment="1">
      <alignment vertical="center"/>
    </xf>
    <xf numFmtId="0" fontId="35" fillId="35" borderId="20" xfId="0" applyFont="1" applyFill="1" applyBorder="1" applyAlignment="1">
      <alignment vertical="center"/>
    </xf>
    <xf numFmtId="0" fontId="35" fillId="35" borderId="22" xfId="0" applyFont="1" applyFill="1" applyBorder="1" applyAlignment="1">
      <alignment vertical="center"/>
    </xf>
    <xf numFmtId="0" fontId="35" fillId="35" borderId="43" xfId="0" applyFont="1" applyFill="1" applyBorder="1" applyAlignment="1">
      <alignment vertical="center"/>
    </xf>
    <xf numFmtId="0" fontId="3" fillId="35" borderId="46" xfId="0" applyFont="1" applyFill="1" applyBorder="1" applyAlignment="1">
      <alignment horizontal="center" vertical="center"/>
    </xf>
    <xf numFmtId="37" fontId="0" fillId="0" borderId="11" xfId="0" applyNumberFormat="1" applyFont="1" applyBorder="1" applyAlignment="1">
      <alignment horizontal="center" vertical="center"/>
    </xf>
    <xf numFmtId="7" fontId="0" fillId="0" borderId="27" xfId="0" applyNumberFormat="1" applyFont="1" applyBorder="1" applyAlignment="1">
      <alignment horizontal="center" vertical="center"/>
    </xf>
    <xf numFmtId="0" fontId="3" fillId="0" borderId="43" xfId="0" applyFont="1" applyBorder="1" applyAlignment="1">
      <alignment/>
    </xf>
    <xf numFmtId="0" fontId="3" fillId="35" borderId="47" xfId="0" applyFont="1" applyFill="1" applyBorder="1" applyAlignment="1">
      <alignment horizontal="center" vertical="center"/>
    </xf>
    <xf numFmtId="2" fontId="0" fillId="0" borderId="26" xfId="0" applyNumberFormat="1"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24" xfId="0" applyFont="1" applyBorder="1" applyAlignment="1">
      <alignment horizontal="center" vertical="center"/>
    </xf>
    <xf numFmtId="0" fontId="3" fillId="0" borderId="50" xfId="0" applyFont="1" applyBorder="1" applyAlignment="1">
      <alignment horizontal="center" vertical="center"/>
    </xf>
    <xf numFmtId="43" fontId="0" fillId="0" borderId="51" xfId="0" applyNumberFormat="1" applyFont="1" applyBorder="1" applyAlignment="1">
      <alignment horizontal="center" vertical="center" wrapText="1"/>
    </xf>
    <xf numFmtId="0" fontId="0" fillId="0" borderId="51" xfId="0" applyNumberFormat="1" applyFont="1" applyBorder="1" applyAlignment="1">
      <alignment horizontal="center" vertical="center" wrapText="1"/>
    </xf>
    <xf numFmtId="2" fontId="0" fillId="0" borderId="52" xfId="0" applyNumberFormat="1" applyFont="1" applyBorder="1" applyAlignment="1">
      <alignment horizontal="center" vertical="center"/>
    </xf>
    <xf numFmtId="7" fontId="0" fillId="0" borderId="35" xfId="0" applyNumberFormat="1" applyFont="1" applyBorder="1" applyAlignment="1">
      <alignment horizontal="center" vertical="center"/>
    </xf>
    <xf numFmtId="0" fontId="6" fillId="0" borderId="19" xfId="0" applyFont="1" applyBorder="1" applyAlignment="1">
      <alignment horizontal="center" vertical="top" wrapText="1"/>
    </xf>
    <xf numFmtId="0" fontId="6" fillId="0" borderId="53" xfId="0" applyFont="1" applyBorder="1" applyAlignment="1">
      <alignment horizontal="center" vertical="top" wrapText="1"/>
    </xf>
    <xf numFmtId="0" fontId="6" fillId="0" borderId="54" xfId="0" applyFont="1" applyBorder="1" applyAlignment="1">
      <alignment horizontal="center" vertical="top" wrapText="1"/>
    </xf>
    <xf numFmtId="0" fontId="6" fillId="0" borderId="21" xfId="0" applyFont="1" applyBorder="1" applyAlignment="1">
      <alignment horizontal="center" vertical="top" wrapText="1"/>
    </xf>
    <xf numFmtId="0" fontId="6" fillId="0" borderId="43" xfId="0" applyFont="1" applyBorder="1" applyAlignment="1">
      <alignment horizontal="center" vertical="top" wrapText="1"/>
    </xf>
    <xf numFmtId="41" fontId="0" fillId="0" borderId="36" xfId="0" applyNumberFormat="1" applyFont="1" applyBorder="1" applyAlignment="1">
      <alignment horizontal="center" vertical="center" wrapText="1"/>
    </xf>
    <xf numFmtId="1" fontId="0" fillId="0" borderId="35" xfId="0" applyNumberFormat="1" applyFont="1" applyBorder="1" applyAlignment="1">
      <alignment horizontal="center" vertical="center"/>
    </xf>
    <xf numFmtId="1" fontId="0" fillId="0" borderId="27" xfId="0" applyNumberFormat="1" applyFont="1" applyBorder="1" applyAlignment="1">
      <alignment horizontal="center" vertical="center"/>
    </xf>
    <xf numFmtId="0" fontId="3" fillId="0" borderId="31" xfId="0" applyFont="1" applyBorder="1" applyAlignment="1">
      <alignment/>
    </xf>
    <xf numFmtId="0" fontId="3" fillId="0" borderId="36" xfId="0" applyFont="1" applyBorder="1" applyAlignment="1">
      <alignment/>
    </xf>
    <xf numFmtId="43" fontId="0" fillId="0" borderId="55" xfId="0" applyNumberFormat="1" applyFont="1" applyBorder="1" applyAlignment="1">
      <alignment horizontal="center" vertical="center" wrapText="1"/>
    </xf>
    <xf numFmtId="43" fontId="0" fillId="0" borderId="56" xfId="0" applyNumberFormat="1" applyFont="1" applyBorder="1" applyAlignment="1">
      <alignment horizontal="center" vertical="center" wrapText="1"/>
    </xf>
    <xf numFmtId="2" fontId="0" fillId="0" borderId="56" xfId="0" applyNumberFormat="1" applyFont="1" applyBorder="1" applyAlignment="1">
      <alignment horizontal="center" vertical="center"/>
    </xf>
    <xf numFmtId="1" fontId="0" fillId="0" borderId="57" xfId="0" applyNumberFormat="1" applyFont="1" applyBorder="1" applyAlignment="1">
      <alignment horizontal="center" vertical="center"/>
    </xf>
    <xf numFmtId="0" fontId="6" fillId="0" borderId="22" xfId="0" applyFont="1" applyBorder="1" applyAlignment="1">
      <alignment horizontal="center" vertical="top" wrapText="1"/>
    </xf>
    <xf numFmtId="41" fontId="0" fillId="0" borderId="14" xfId="0" applyNumberFormat="1" applyFont="1" applyBorder="1" applyAlignment="1">
      <alignment horizontal="center" vertical="center" wrapText="1"/>
    </xf>
    <xf numFmtId="0" fontId="3" fillId="35" borderId="58" xfId="0" applyFont="1" applyFill="1" applyBorder="1" applyAlignment="1">
      <alignment horizontal="center" vertical="center"/>
    </xf>
    <xf numFmtId="0" fontId="0" fillId="0" borderId="55" xfId="0" applyNumberFormat="1" applyFont="1" applyBorder="1" applyAlignment="1">
      <alignment horizontal="center" vertical="center" wrapText="1"/>
    </xf>
    <xf numFmtId="2" fontId="0" fillId="0" borderId="56" xfId="0" applyNumberFormat="1" applyFont="1" applyBorder="1" applyAlignment="1">
      <alignment horizontal="center" vertical="center" wrapText="1"/>
    </xf>
    <xf numFmtId="0" fontId="0" fillId="0" borderId="56" xfId="0" applyFont="1" applyBorder="1" applyAlignment="1">
      <alignment horizontal="center" vertical="center" wrapText="1"/>
    </xf>
    <xf numFmtId="2" fontId="0" fillId="0" borderId="56" xfId="0" applyNumberFormat="1" applyFont="1" applyBorder="1" applyAlignment="1">
      <alignment horizontal="center" vertical="center"/>
    </xf>
    <xf numFmtId="3" fontId="0" fillId="0" borderId="57" xfId="0" applyNumberFormat="1" applyFont="1" applyBorder="1" applyAlignment="1">
      <alignment horizontal="center" vertical="center"/>
    </xf>
    <xf numFmtId="167" fontId="33" fillId="48" borderId="35" xfId="0" applyNumberFormat="1" applyFont="1" applyFill="1" applyBorder="1" applyAlignment="1">
      <alignment horizontal="right" vertical="center"/>
    </xf>
    <xf numFmtId="0" fontId="3" fillId="0" borderId="34" xfId="0" applyFont="1" applyBorder="1" applyAlignment="1">
      <alignment/>
    </xf>
    <xf numFmtId="0" fontId="3" fillId="0" borderId="22" xfId="0" applyFont="1" applyBorder="1" applyAlignment="1">
      <alignment horizontal="center" vertical="center"/>
    </xf>
    <xf numFmtId="41" fontId="0" fillId="0" borderId="17" xfId="0" applyNumberFormat="1" applyFont="1" applyBorder="1" applyAlignment="1">
      <alignment horizontal="center" vertical="center" wrapText="1"/>
    </xf>
    <xf numFmtId="2" fontId="0" fillId="0" borderId="17" xfId="0" applyNumberFormat="1" applyFont="1" applyBorder="1" applyAlignment="1">
      <alignment horizontal="center" vertical="center"/>
    </xf>
    <xf numFmtId="37" fontId="0" fillId="0" borderId="56" xfId="0" applyNumberFormat="1" applyFont="1" applyBorder="1" applyAlignment="1">
      <alignment horizontal="center" vertical="center"/>
    </xf>
    <xf numFmtId="7" fontId="0" fillId="0" borderId="59" xfId="0" applyNumberFormat="1" applyFont="1" applyBorder="1" applyAlignment="1">
      <alignment horizontal="center" vertical="center"/>
    </xf>
    <xf numFmtId="0" fontId="92" fillId="50" borderId="38" xfId="0" applyFont="1" applyFill="1" applyBorder="1" applyAlignment="1">
      <alignment horizontal="center" vertical="center"/>
    </xf>
    <xf numFmtId="0" fontId="3" fillId="50" borderId="37" xfId="0" applyFont="1" applyFill="1" applyBorder="1" applyAlignment="1">
      <alignment vertical="top"/>
    </xf>
    <xf numFmtId="0" fontId="3" fillId="50" borderId="13" xfId="0" applyFont="1" applyFill="1" applyBorder="1" applyAlignment="1">
      <alignment vertical="top"/>
    </xf>
    <xf numFmtId="0" fontId="92" fillId="50" borderId="60" xfId="0" applyFont="1" applyFill="1" applyBorder="1" applyAlignment="1">
      <alignment horizontal="center" vertical="center"/>
    </xf>
    <xf numFmtId="0" fontId="3" fillId="50" borderId="12" xfId="0" applyFont="1" applyFill="1" applyBorder="1" applyAlignment="1">
      <alignment vertical="top"/>
    </xf>
    <xf numFmtId="0" fontId="3" fillId="50" borderId="28" xfId="0" applyFont="1" applyFill="1" applyBorder="1" applyAlignment="1">
      <alignment horizontal="right" vertical="center"/>
    </xf>
    <xf numFmtId="0" fontId="3" fillId="50" borderId="13" xfId="0" applyFont="1" applyFill="1" applyBorder="1" applyAlignment="1">
      <alignment horizontal="left" vertical="center"/>
    </xf>
    <xf numFmtId="0" fontId="3" fillId="0" borderId="60" xfId="0" applyFont="1" applyBorder="1" applyAlignment="1">
      <alignment horizontal="center" vertical="center"/>
    </xf>
    <xf numFmtId="0" fontId="92" fillId="50" borderId="61" xfId="0" applyFont="1" applyFill="1" applyBorder="1" applyAlignment="1">
      <alignment horizontal="center" vertical="center"/>
    </xf>
    <xf numFmtId="0" fontId="3" fillId="50" borderId="14" xfId="0" applyFont="1" applyFill="1" applyBorder="1" applyAlignment="1">
      <alignment horizontal="left" vertical="center"/>
    </xf>
    <xf numFmtId="0" fontId="3" fillId="0" borderId="36" xfId="0" applyFont="1" applyBorder="1" applyAlignment="1">
      <alignment horizontal="center" vertical="center"/>
    </xf>
    <xf numFmtId="0" fontId="6" fillId="35" borderId="20" xfId="0" applyFont="1" applyFill="1" applyBorder="1" applyAlignment="1">
      <alignment horizontal="center" vertical="top" wrapText="1"/>
    </xf>
    <xf numFmtId="0" fontId="6" fillId="35" borderId="43" xfId="0" applyFont="1" applyFill="1" applyBorder="1" applyAlignment="1">
      <alignment vertical="top" wrapText="1"/>
    </xf>
    <xf numFmtId="0" fontId="37" fillId="43" borderId="26" xfId="0" applyFont="1" applyFill="1" applyBorder="1" applyAlignment="1">
      <alignment horizontal="center"/>
    </xf>
    <xf numFmtId="0" fontId="37" fillId="43" borderId="52" xfId="0" applyFont="1" applyFill="1" applyBorder="1" applyAlignment="1">
      <alignment horizontal="center"/>
    </xf>
    <xf numFmtId="0" fontId="38" fillId="35" borderId="23" xfId="0" applyFont="1" applyFill="1" applyBorder="1" applyAlignment="1">
      <alignment horizontal="center" vertical="top" wrapText="1"/>
    </xf>
    <xf numFmtId="2" fontId="3" fillId="34" borderId="25" xfId="0" applyNumberFormat="1" applyFont="1" applyFill="1" applyBorder="1" applyAlignment="1" applyProtection="1">
      <alignment horizontal="center" vertical="center"/>
      <protection locked="0"/>
    </xf>
    <xf numFmtId="2" fontId="3" fillId="34" borderId="42" xfId="0" applyNumberFormat="1" applyFont="1" applyFill="1" applyBorder="1" applyAlignment="1" applyProtection="1">
      <alignment horizontal="center" vertical="center"/>
      <protection locked="0"/>
    </xf>
    <xf numFmtId="168" fontId="3" fillId="50" borderId="31" xfId="0" applyNumberFormat="1" applyFont="1" applyFill="1" applyBorder="1" applyAlignment="1">
      <alignment horizontal="right" vertical="center"/>
    </xf>
    <xf numFmtId="0" fontId="6" fillId="0" borderId="0" xfId="0" applyFont="1" applyAlignment="1">
      <alignment vertical="center"/>
    </xf>
    <xf numFmtId="0" fontId="3" fillId="0" borderId="0" xfId="0" applyFont="1" applyAlignment="1">
      <alignment vertical="center" wrapText="1"/>
    </xf>
    <xf numFmtId="0" fontId="6" fillId="0" borderId="62" xfId="0"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0" borderId="63" xfId="0" applyFont="1" applyFill="1" applyBorder="1" applyAlignment="1">
      <alignment horizontal="center" vertical="top" wrapText="1"/>
    </xf>
    <xf numFmtId="0" fontId="6" fillId="0" borderId="33" xfId="0" applyFont="1" applyFill="1" applyBorder="1" applyAlignment="1">
      <alignment horizontal="center" vertical="top" wrapText="1"/>
    </xf>
    <xf numFmtId="0" fontId="37" fillId="0" borderId="64" xfId="0" applyFont="1" applyFill="1" applyBorder="1" applyAlignment="1" applyProtection="1" quotePrefix="1">
      <alignment vertical="center"/>
      <protection/>
    </xf>
    <xf numFmtId="0" fontId="37" fillId="34" borderId="65" xfId="0" applyFont="1" applyFill="1" applyBorder="1" applyAlignment="1" applyProtection="1">
      <alignment horizontal="center" vertical="center"/>
      <protection locked="0"/>
    </xf>
    <xf numFmtId="39" fontId="37" fillId="34" borderId="65" xfId="42" applyNumberFormat="1" applyFont="1" applyFill="1" applyBorder="1" applyAlignment="1" applyProtection="1">
      <alignment horizontal="center" vertical="center"/>
      <protection locked="0"/>
    </xf>
    <xf numFmtId="0" fontId="37" fillId="34" borderId="66" xfId="0" applyFont="1" applyFill="1" applyBorder="1" applyAlignment="1" applyProtection="1">
      <alignment horizontal="center" vertical="center"/>
      <protection locked="0"/>
    </xf>
    <xf numFmtId="0" fontId="37" fillId="34" borderId="64" xfId="0" applyFont="1" applyFill="1" applyBorder="1" applyAlignment="1" applyProtection="1">
      <alignment horizontal="center" vertical="center"/>
      <protection locked="0"/>
    </xf>
    <xf numFmtId="49" fontId="37" fillId="34" borderId="65" xfId="0" applyNumberFormat="1" applyFont="1" applyFill="1" applyBorder="1" applyAlignment="1" applyProtection="1">
      <alignment horizontal="center" vertical="center" wrapText="1"/>
      <protection locked="0"/>
    </xf>
    <xf numFmtId="2" fontId="37" fillId="0" borderId="65" xfId="0" applyNumberFormat="1" applyFont="1" applyFill="1" applyBorder="1" applyAlignment="1" applyProtection="1">
      <alignment horizontal="center" vertical="center"/>
      <protection/>
    </xf>
    <xf numFmtId="39" fontId="37" fillId="0" borderId="65" xfId="0" applyNumberFormat="1" applyFont="1" applyFill="1" applyBorder="1" applyAlignment="1">
      <alignment horizontal="center" vertical="center" wrapText="1"/>
    </xf>
    <xf numFmtId="0" fontId="37" fillId="34" borderId="65" xfId="46" applyNumberFormat="1" applyFont="1" applyFill="1" applyBorder="1" applyAlignment="1" applyProtection="1">
      <alignment horizontal="center" vertical="center"/>
      <protection locked="0"/>
    </xf>
    <xf numFmtId="44" fontId="37" fillId="34" borderId="65" xfId="46" applyFont="1" applyFill="1" applyBorder="1" applyAlignment="1" applyProtection="1">
      <alignment horizontal="center" vertical="center"/>
      <protection locked="0"/>
    </xf>
    <xf numFmtId="0" fontId="37" fillId="34" borderId="65" xfId="0" applyNumberFormat="1" applyFont="1" applyFill="1" applyBorder="1" applyAlignment="1" applyProtection="1">
      <alignment horizontal="center" vertical="center"/>
      <protection locked="0"/>
    </xf>
    <xf numFmtId="44" fontId="37" fillId="0" borderId="64" xfId="46" applyFont="1" applyFill="1" applyBorder="1" applyAlignment="1">
      <alignment horizontal="right" vertical="center"/>
    </xf>
    <xf numFmtId="44" fontId="37" fillId="0" borderId="65" xfId="46" applyFont="1" applyFill="1" applyBorder="1" applyAlignment="1">
      <alignment horizontal="right" vertical="center"/>
    </xf>
    <xf numFmtId="39" fontId="37" fillId="0" borderId="65" xfId="46" applyNumberFormat="1" applyFont="1" applyFill="1" applyBorder="1" applyAlignment="1">
      <alignment horizontal="right" vertical="center"/>
    </xf>
    <xf numFmtId="44" fontId="37" fillId="0" borderId="67" xfId="46" applyFont="1" applyFill="1" applyBorder="1" applyAlignment="1">
      <alignment horizontal="right" vertical="center"/>
    </xf>
    <xf numFmtId="0" fontId="3" fillId="50" borderId="13" xfId="0" applyFont="1" applyFill="1" applyBorder="1" applyAlignment="1">
      <alignment horizontal="left" vertical="top" wrapText="1"/>
    </xf>
    <xf numFmtId="0" fontId="0" fillId="0" borderId="0" xfId="0" applyFont="1" applyAlignment="1">
      <alignment horizontal="left" vertical="top" wrapText="1"/>
    </xf>
    <xf numFmtId="0" fontId="3" fillId="0" borderId="28" xfId="0" applyFont="1" applyBorder="1" applyAlignment="1">
      <alignment horizontal="center" vertical="center"/>
    </xf>
    <xf numFmtId="0" fontId="9" fillId="0" borderId="0" xfId="0" applyFont="1" applyFill="1" applyBorder="1" applyAlignment="1">
      <alignment horizontal="center" vertical="center"/>
    </xf>
    <xf numFmtId="0" fontId="38" fillId="0" borderId="0" xfId="0" applyFont="1" applyFill="1" applyBorder="1" applyAlignment="1">
      <alignment horizontal="center" vertical="top" wrapText="1"/>
    </xf>
    <xf numFmtId="0" fontId="38" fillId="0" borderId="0" xfId="0" applyFont="1" applyFill="1" applyBorder="1" applyAlignment="1">
      <alignment vertical="top" wrapText="1"/>
    </xf>
    <xf numFmtId="172" fontId="37" fillId="0" borderId="0" xfId="0" applyNumberFormat="1" applyFont="1" applyFill="1" applyBorder="1" applyAlignment="1">
      <alignment vertical="center"/>
    </xf>
    <xf numFmtId="0" fontId="37" fillId="0" borderId="68" xfId="0" applyFont="1" applyBorder="1" applyAlignment="1">
      <alignment horizontal="center" vertical="center"/>
    </xf>
    <xf numFmtId="0" fontId="37" fillId="43" borderId="69" xfId="0" applyFont="1" applyFill="1" applyBorder="1" applyAlignment="1">
      <alignment horizontal="center"/>
    </xf>
    <xf numFmtId="0" fontId="38" fillId="35" borderId="70" xfId="0" applyFont="1" applyFill="1" applyBorder="1" applyAlignment="1">
      <alignment horizontal="center" vertical="top" wrapText="1"/>
    </xf>
    <xf numFmtId="0" fontId="38" fillId="35" borderId="71" xfId="0" applyFont="1" applyFill="1" applyBorder="1" applyAlignment="1">
      <alignment horizontal="center" vertical="top" wrapText="1"/>
    </xf>
    <xf numFmtId="0" fontId="38" fillId="35" borderId="72" xfId="0" applyFont="1" applyFill="1" applyBorder="1" applyAlignment="1">
      <alignment horizontal="center" vertical="top" wrapText="1"/>
    </xf>
    <xf numFmtId="172" fontId="37" fillId="0" borderId="73" xfId="0" applyNumberFormat="1" applyFont="1" applyBorder="1" applyAlignment="1">
      <alignment horizontal="center" vertical="center"/>
    </xf>
    <xf numFmtId="172" fontId="37" fillId="0" borderId="74" xfId="0" applyNumberFormat="1" applyFont="1" applyBorder="1" applyAlignment="1">
      <alignment horizontal="center" vertical="center"/>
    </xf>
    <xf numFmtId="172" fontId="37" fillId="0" borderId="75" xfId="0" applyNumberFormat="1" applyFont="1" applyBorder="1" applyAlignment="1">
      <alignment horizontal="center" vertical="center"/>
    </xf>
    <xf numFmtId="0" fontId="37" fillId="0" borderId="76" xfId="0" applyFont="1" applyBorder="1" applyAlignment="1">
      <alignment horizontal="center" vertical="center"/>
    </xf>
    <xf numFmtId="44" fontId="37" fillId="34" borderId="12" xfId="46" applyNumberFormat="1" applyFont="1" applyFill="1" applyBorder="1" applyAlignment="1" applyProtection="1">
      <alignment horizontal="center" vertical="center"/>
      <protection locked="0"/>
    </xf>
    <xf numFmtId="177" fontId="37" fillId="34" borderId="12" xfId="46" applyNumberFormat="1" applyFont="1" applyFill="1" applyBorder="1" applyAlignment="1" applyProtection="1">
      <alignment horizontal="center" vertical="center"/>
      <protection locked="0"/>
    </xf>
    <xf numFmtId="177" fontId="37" fillId="34" borderId="40" xfId="46" applyNumberFormat="1" applyFont="1" applyFill="1" applyBorder="1" applyAlignment="1" applyProtection="1">
      <alignment horizontal="center" vertical="center"/>
      <protection locked="0"/>
    </xf>
    <xf numFmtId="0" fontId="2" fillId="35" borderId="20" xfId="0" applyFont="1" applyFill="1" applyBorder="1" applyAlignment="1" quotePrefix="1">
      <alignment vertical="center"/>
    </xf>
    <xf numFmtId="0" fontId="2" fillId="35" borderId="22" xfId="0" applyFont="1" applyFill="1" applyBorder="1" applyAlignment="1" quotePrefix="1">
      <alignment vertical="center"/>
    </xf>
    <xf numFmtId="0" fontId="2" fillId="35" borderId="43" xfId="0" applyFont="1" applyFill="1" applyBorder="1" applyAlignment="1" quotePrefix="1">
      <alignment vertical="center"/>
    </xf>
    <xf numFmtId="2" fontId="37" fillId="0" borderId="11" xfId="46" applyNumberFormat="1" applyFont="1" applyFill="1" applyBorder="1" applyAlignment="1">
      <alignment horizontal="right" vertical="center"/>
    </xf>
    <xf numFmtId="44" fontId="0" fillId="0" borderId="0" xfId="0" applyNumberFormat="1" applyAlignment="1">
      <alignment/>
    </xf>
    <xf numFmtId="44" fontId="3" fillId="0" borderId="0" xfId="0" applyNumberFormat="1" applyFont="1" applyAlignment="1">
      <alignment/>
    </xf>
    <xf numFmtId="0" fontId="38" fillId="35" borderId="77" xfId="0" applyFont="1" applyFill="1" applyBorder="1" applyAlignment="1">
      <alignment horizontal="center" vertical="top" wrapText="1"/>
    </xf>
    <xf numFmtId="0" fontId="37" fillId="0" borderId="78" xfId="0" applyFont="1" applyBorder="1" applyAlignment="1">
      <alignment horizontal="center" vertical="center"/>
    </xf>
    <xf numFmtId="0" fontId="37" fillId="43" borderId="79" xfId="0" applyFont="1" applyFill="1" applyBorder="1" applyAlignment="1">
      <alignment horizontal="center"/>
    </xf>
    <xf numFmtId="0" fontId="38" fillId="35" borderId="80" xfId="0" applyFont="1" applyFill="1" applyBorder="1" applyAlignment="1">
      <alignment horizontal="center" vertical="top" wrapText="1"/>
    </xf>
    <xf numFmtId="172" fontId="37" fillId="0" borderId="81" xfId="0" applyNumberFormat="1" applyFont="1" applyBorder="1" applyAlignment="1">
      <alignment horizontal="center" vertical="center"/>
    </xf>
    <xf numFmtId="0" fontId="4" fillId="35" borderId="82" xfId="0" applyFont="1" applyFill="1" applyBorder="1" applyAlignment="1">
      <alignment vertical="top"/>
    </xf>
    <xf numFmtId="0" fontId="4" fillId="35" borderId="83" xfId="0" applyFont="1" applyFill="1" applyBorder="1" applyAlignment="1">
      <alignment vertical="top"/>
    </xf>
    <xf numFmtId="0" fontId="4" fillId="35" borderId="84" xfId="0" applyFont="1" applyFill="1" applyBorder="1" applyAlignment="1">
      <alignment vertical="top"/>
    </xf>
    <xf numFmtId="0" fontId="39" fillId="35" borderId="20" xfId="0" applyFont="1" applyFill="1" applyBorder="1" applyAlignment="1" quotePrefix="1">
      <alignment vertical="center"/>
    </xf>
    <xf numFmtId="0" fontId="39" fillId="35" borderId="22" xfId="0" applyFont="1" applyFill="1" applyBorder="1" applyAlignment="1" quotePrefix="1">
      <alignment vertical="center"/>
    </xf>
    <xf numFmtId="0" fontId="39" fillId="35" borderId="43" xfId="0" applyFont="1" applyFill="1" applyBorder="1" applyAlignment="1" quotePrefix="1">
      <alignment vertical="center"/>
    </xf>
    <xf numFmtId="2" fontId="37" fillId="0" borderId="65" xfId="46" applyNumberFormat="1" applyFont="1" applyFill="1" applyBorder="1" applyAlignment="1">
      <alignment horizontal="right" vertical="center"/>
    </xf>
    <xf numFmtId="2" fontId="37" fillId="0" borderId="39" xfId="46" applyNumberFormat="1" applyFont="1" applyFill="1" applyBorder="1" applyAlignment="1">
      <alignment horizontal="right" vertical="center"/>
    </xf>
    <xf numFmtId="168" fontId="3" fillId="50" borderId="28" xfId="0" applyNumberFormat="1" applyFont="1" applyFill="1" applyBorder="1" applyAlignment="1">
      <alignment horizontal="right" vertical="center"/>
    </xf>
    <xf numFmtId="0" fontId="92" fillId="50" borderId="60" xfId="0" applyFont="1" applyFill="1" applyBorder="1" applyAlignment="1">
      <alignment horizontal="left" vertical="center"/>
    </xf>
    <xf numFmtId="0" fontId="6" fillId="35" borderId="20" xfId="0" applyFont="1" applyFill="1" applyBorder="1" applyAlignment="1">
      <alignment vertical="top" wrapText="1"/>
    </xf>
    <xf numFmtId="0" fontId="3" fillId="50" borderId="0" xfId="0" applyFont="1" applyFill="1" applyBorder="1" applyAlignment="1">
      <alignment horizontal="left" vertical="top" wrapText="1"/>
    </xf>
    <xf numFmtId="6" fontId="3" fillId="0" borderId="31" xfId="0" applyNumberFormat="1" applyFont="1" applyBorder="1" applyAlignment="1">
      <alignment horizontal="center" vertical="center"/>
    </xf>
    <xf numFmtId="6" fontId="3" fillId="0" borderId="28" xfId="0" applyNumberFormat="1" applyFont="1" applyBorder="1" applyAlignment="1">
      <alignment horizontal="center" vertical="center"/>
    </xf>
    <xf numFmtId="0" fontId="3" fillId="50" borderId="28" xfId="0" applyFont="1" applyFill="1" applyBorder="1" applyAlignment="1">
      <alignment vertical="center"/>
    </xf>
    <xf numFmtId="49" fontId="6" fillId="35" borderId="85" xfId="0" applyNumberFormat="1" applyFont="1" applyFill="1" applyBorder="1" applyAlignment="1">
      <alignment vertical="center"/>
    </xf>
    <xf numFmtId="49" fontId="6" fillId="35" borderId="86" xfId="0" applyNumberFormat="1" applyFont="1" applyFill="1" applyBorder="1" applyAlignment="1">
      <alignment vertical="center"/>
    </xf>
    <xf numFmtId="49" fontId="6" fillId="35" borderId="87" xfId="0" applyNumberFormat="1" applyFont="1" applyFill="1" applyBorder="1" applyAlignment="1">
      <alignment vertical="center"/>
    </xf>
    <xf numFmtId="49" fontId="6" fillId="35" borderId="88" xfId="0" applyNumberFormat="1" applyFont="1" applyFill="1" applyBorder="1" applyAlignment="1">
      <alignment vertical="center"/>
    </xf>
    <xf numFmtId="177" fontId="37" fillId="34" borderId="66" xfId="46" applyNumberFormat="1" applyFont="1" applyFill="1" applyBorder="1" applyAlignment="1" applyProtection="1">
      <alignment horizontal="center" vertical="center"/>
      <protection locked="0"/>
    </xf>
    <xf numFmtId="0" fontId="3" fillId="0" borderId="82" xfId="0" applyFont="1" applyBorder="1" applyAlignment="1">
      <alignment horizontal="center" vertical="center"/>
    </xf>
    <xf numFmtId="0" fontId="3" fillId="0" borderId="27" xfId="0" applyFont="1" applyBorder="1" applyAlignment="1">
      <alignment horizontal="center" vertical="center"/>
    </xf>
    <xf numFmtId="0" fontId="3" fillId="0" borderId="41" xfId="0" applyFont="1" applyBorder="1" applyAlignment="1">
      <alignment horizontal="center" vertical="center"/>
    </xf>
    <xf numFmtId="0" fontId="6" fillId="35" borderId="67" xfId="0" applyFont="1" applyFill="1" applyBorder="1" applyAlignment="1">
      <alignment horizontal="center" vertical="top" wrapText="1"/>
    </xf>
    <xf numFmtId="49" fontId="6" fillId="0" borderId="62" xfId="0" applyNumberFormat="1" applyFont="1" applyFill="1" applyBorder="1" applyAlignment="1">
      <alignment horizontal="center" vertical="top" wrapText="1"/>
    </xf>
    <xf numFmtId="0" fontId="6" fillId="0" borderId="18" xfId="0" applyNumberFormat="1" applyFont="1" applyFill="1" applyBorder="1" applyAlignment="1">
      <alignment horizontal="center" vertical="top" wrapText="1"/>
    </xf>
    <xf numFmtId="49" fontId="6" fillId="0" borderId="33" xfId="0" applyNumberFormat="1" applyFont="1" applyFill="1" applyBorder="1" applyAlignment="1">
      <alignment horizontal="center" vertical="top"/>
    </xf>
    <xf numFmtId="2" fontId="3" fillId="34" borderId="64" xfId="0" applyNumberFormat="1" applyFont="1" applyFill="1" applyBorder="1" applyAlignment="1" applyProtection="1">
      <alignment horizontal="center" vertical="center"/>
      <protection locked="0"/>
    </xf>
    <xf numFmtId="43" fontId="3" fillId="34" borderId="65" xfId="42" applyFont="1" applyFill="1" applyBorder="1" applyAlignment="1" applyProtection="1">
      <alignment horizontal="center" vertical="center"/>
      <protection locked="0"/>
    </xf>
    <xf numFmtId="0" fontId="3" fillId="34" borderId="67" xfId="0" applyFont="1" applyFill="1" applyBorder="1" applyAlignment="1" applyProtection="1">
      <alignment horizontal="center" vertical="center"/>
      <protection locked="0"/>
    </xf>
    <xf numFmtId="44" fontId="3" fillId="0" borderId="65" xfId="0" applyNumberFormat="1" applyFont="1" applyFill="1" applyBorder="1" applyAlignment="1">
      <alignment horizontal="center" vertical="center"/>
    </xf>
    <xf numFmtId="43" fontId="3" fillId="0" borderId="65" xfId="42" applyFont="1" applyFill="1" applyBorder="1" applyAlignment="1">
      <alignment horizontal="center" vertical="center"/>
    </xf>
    <xf numFmtId="44" fontId="3" fillId="0" borderId="67" xfId="0" applyNumberFormat="1" applyFont="1" applyFill="1" applyBorder="1" applyAlignment="1">
      <alignment horizontal="center" vertical="center"/>
    </xf>
    <xf numFmtId="0" fontId="9" fillId="0" borderId="26" xfId="0" applyFont="1" applyFill="1" applyBorder="1" applyAlignment="1">
      <alignment horizontal="center" vertical="center"/>
    </xf>
    <xf numFmtId="0" fontId="6" fillId="0" borderId="89" xfId="0" applyFont="1" applyFill="1" applyBorder="1" applyAlignment="1">
      <alignment horizontal="center" vertical="top" wrapText="1"/>
    </xf>
    <xf numFmtId="44" fontId="3" fillId="0" borderId="90" xfId="0" applyNumberFormat="1" applyFont="1" applyFill="1" applyBorder="1" applyAlignment="1">
      <alignment horizontal="center" vertical="center"/>
    </xf>
    <xf numFmtId="44" fontId="3" fillId="0" borderId="26" xfId="0" applyNumberFormat="1" applyFont="1" applyFill="1" applyBorder="1" applyAlignment="1">
      <alignment horizontal="center" vertical="center"/>
    </xf>
    <xf numFmtId="44" fontId="3" fillId="0" borderId="91" xfId="0" applyNumberFormat="1" applyFont="1" applyFill="1" applyBorder="1" applyAlignment="1">
      <alignment horizontal="center" vertical="center"/>
    </xf>
    <xf numFmtId="0" fontId="3" fillId="34" borderId="51" xfId="0" applyFont="1" applyFill="1" applyBorder="1" applyAlignment="1" applyProtection="1">
      <alignment horizontal="center" vertical="center"/>
      <protection locked="0"/>
    </xf>
    <xf numFmtId="0" fontId="3" fillId="34" borderId="32" xfId="0" applyFont="1" applyFill="1" applyBorder="1" applyAlignment="1" applyProtection="1">
      <alignment horizontal="center" vertical="center"/>
      <protection locked="0"/>
    </xf>
    <xf numFmtId="164" fontId="3" fillId="34" borderId="32" xfId="0" applyNumberFormat="1" applyFont="1" applyFill="1" applyBorder="1" applyAlignment="1" applyProtection="1">
      <alignment horizontal="center" vertical="center"/>
      <protection locked="0"/>
    </xf>
    <xf numFmtId="168" fontId="3" fillId="0" borderId="32" xfId="0" applyNumberFormat="1" applyFont="1" applyFill="1" applyBorder="1" applyAlignment="1">
      <alignment horizontal="center" vertical="center"/>
    </xf>
    <xf numFmtId="166" fontId="3" fillId="34" borderId="32" xfId="42" applyNumberFormat="1" applyFont="1" applyFill="1" applyBorder="1" applyAlignment="1" applyProtection="1">
      <alignment horizontal="center" vertical="center"/>
      <protection locked="0"/>
    </xf>
    <xf numFmtId="44" fontId="3" fillId="34" borderId="32" xfId="0" applyNumberFormat="1" applyFont="1" applyFill="1" applyBorder="1" applyAlignment="1" applyProtection="1">
      <alignment horizontal="center" vertical="center"/>
      <protection locked="0"/>
    </xf>
    <xf numFmtId="44" fontId="3" fillId="34" borderId="35" xfId="0" applyNumberFormat="1" applyFont="1" applyFill="1" applyBorder="1" applyAlignment="1" applyProtection="1">
      <alignment horizontal="center" vertical="center"/>
      <protection locked="0"/>
    </xf>
    <xf numFmtId="0" fontId="6" fillId="0" borderId="42" xfId="0" applyFont="1" applyFill="1" applyBorder="1" applyAlignment="1">
      <alignment horizontal="center" vertical="top" wrapText="1"/>
    </xf>
    <xf numFmtId="0" fontId="6" fillId="0" borderId="39" xfId="0" applyFont="1" applyFill="1" applyBorder="1" applyAlignment="1">
      <alignment horizontal="center" vertical="top" wrapText="1"/>
    </xf>
    <xf numFmtId="0" fontId="6" fillId="0" borderId="41" xfId="0" applyFont="1" applyFill="1" applyBorder="1" applyAlignment="1">
      <alignment horizontal="center" vertical="top" wrapText="1"/>
    </xf>
    <xf numFmtId="0" fontId="3" fillId="50" borderId="13" xfId="0" applyFont="1" applyFill="1" applyBorder="1" applyAlignment="1">
      <alignment horizontal="left" vertical="top"/>
    </xf>
    <xf numFmtId="0" fontId="6" fillId="35" borderId="23" xfId="0" applyFont="1" applyFill="1" applyBorder="1" applyAlignment="1">
      <alignment horizontal="center" vertical="top" wrapText="1"/>
    </xf>
    <xf numFmtId="0" fontId="3" fillId="0" borderId="92" xfId="0" applyFont="1" applyBorder="1" applyAlignment="1">
      <alignment horizontal="center" vertical="top"/>
    </xf>
    <xf numFmtId="0" fontId="3" fillId="0" borderId="93" xfId="0" applyFont="1" applyBorder="1" applyAlignment="1">
      <alignment horizontal="center" vertical="top"/>
    </xf>
    <xf numFmtId="0" fontId="3" fillId="0" borderId="93" xfId="0" applyFont="1" applyBorder="1" applyAlignment="1">
      <alignment horizontal="center" vertical="top" wrapText="1"/>
    </xf>
    <xf numFmtId="0" fontId="3" fillId="0" borderId="94" xfId="0" applyFont="1" applyBorder="1" applyAlignment="1">
      <alignment horizontal="center" vertical="top" wrapText="1"/>
    </xf>
    <xf numFmtId="0" fontId="3" fillId="0" borderId="95" xfId="0" applyFont="1" applyBorder="1" applyAlignment="1">
      <alignment horizontal="center" vertical="top" wrapText="1"/>
    </xf>
    <xf numFmtId="0" fontId="3" fillId="0" borderId="34" xfId="0" applyFont="1" applyBorder="1" applyAlignment="1">
      <alignment horizontal="center" vertical="top" wrapText="1"/>
    </xf>
    <xf numFmtId="49" fontId="3" fillId="0" borderId="0" xfId="0" applyNumberFormat="1" applyFont="1" applyFill="1" applyBorder="1" applyAlignment="1">
      <alignment horizontal="center" vertical="center"/>
    </xf>
    <xf numFmtId="0" fontId="0" fillId="0" borderId="0" xfId="65" applyFont="1" quotePrefix="1">
      <alignment/>
      <protection/>
    </xf>
    <xf numFmtId="0" fontId="3" fillId="50" borderId="14" xfId="0" applyFont="1" applyFill="1" applyBorder="1" applyAlignment="1">
      <alignment horizontal="left" vertical="top" wrapText="1"/>
    </xf>
    <xf numFmtId="172" fontId="4" fillId="0" borderId="34" xfId="0" applyNumberFormat="1" applyFont="1" applyFill="1" applyBorder="1" applyAlignment="1">
      <alignment horizontal="center" vertical="center"/>
    </xf>
    <xf numFmtId="0" fontId="3" fillId="0" borderId="96" xfId="0" applyFont="1" applyBorder="1" applyAlignment="1">
      <alignment horizontal="center" vertical="top" wrapText="1"/>
    </xf>
    <xf numFmtId="0" fontId="3" fillId="50" borderId="58" xfId="0" applyFont="1" applyFill="1" applyBorder="1" applyAlignment="1">
      <alignment horizontal="right" vertical="center"/>
    </xf>
    <xf numFmtId="0" fontId="3" fillId="50" borderId="37" xfId="0" applyFont="1" applyFill="1" applyBorder="1" applyAlignment="1">
      <alignment horizontal="left" vertical="center"/>
    </xf>
    <xf numFmtId="6" fontId="3" fillId="0" borderId="58" xfId="0" applyNumberFormat="1" applyFont="1" applyBorder="1" applyAlignment="1">
      <alignment horizontal="center" vertical="center"/>
    </xf>
    <xf numFmtId="0" fontId="3" fillId="0" borderId="97" xfId="0" applyFont="1" applyBorder="1" applyAlignment="1">
      <alignment horizontal="center" vertical="top" wrapText="1"/>
    </xf>
    <xf numFmtId="0" fontId="3" fillId="50" borderId="83" xfId="0" applyFont="1" applyFill="1" applyBorder="1" applyAlignment="1">
      <alignment vertical="top"/>
    </xf>
    <xf numFmtId="0" fontId="92" fillId="50" borderId="84" xfId="0" applyFont="1" applyFill="1" applyBorder="1" applyAlignment="1">
      <alignment horizontal="center" vertical="center"/>
    </xf>
    <xf numFmtId="0" fontId="3" fillId="50" borderId="82" xfId="0" applyFont="1" applyFill="1" applyBorder="1" applyAlignment="1">
      <alignment horizontal="right" vertical="center"/>
    </xf>
    <xf numFmtId="0" fontId="3" fillId="50" borderId="83" xfId="0" applyFont="1" applyFill="1" applyBorder="1" applyAlignment="1">
      <alignment horizontal="left" vertical="center"/>
    </xf>
    <xf numFmtId="6" fontId="3" fillId="0" borderId="82" xfId="0" applyNumberFormat="1" applyFont="1" applyBorder="1" applyAlignment="1">
      <alignment horizontal="center" vertical="center"/>
    </xf>
    <xf numFmtId="0" fontId="3" fillId="50" borderId="98" xfId="0" applyFont="1" applyFill="1" applyBorder="1" applyAlignment="1">
      <alignment vertical="top"/>
    </xf>
    <xf numFmtId="0" fontId="92" fillId="50" borderId="99" xfId="0" applyFont="1" applyFill="1" applyBorder="1" applyAlignment="1">
      <alignment horizontal="center" vertical="center"/>
    </xf>
    <xf numFmtId="0" fontId="3" fillId="50" borderId="100" xfId="0" applyFont="1" applyFill="1" applyBorder="1" applyAlignment="1">
      <alignment horizontal="right" vertical="center"/>
    </xf>
    <xf numFmtId="0" fontId="3" fillId="50" borderId="98" xfId="0" applyFont="1" applyFill="1" applyBorder="1" applyAlignment="1">
      <alignment horizontal="left" vertical="center"/>
    </xf>
    <xf numFmtId="6" fontId="3" fillId="0" borderId="100" xfId="0" applyNumberFormat="1" applyFont="1" applyBorder="1" applyAlignment="1">
      <alignment horizontal="center" vertical="center"/>
    </xf>
    <xf numFmtId="0" fontId="3" fillId="0" borderId="92" xfId="0" applyFont="1" applyBorder="1" applyAlignment="1">
      <alignment horizontal="center" vertical="top" wrapText="1"/>
    </xf>
    <xf numFmtId="0" fontId="3" fillId="50" borderId="14" xfId="0" applyFont="1" applyFill="1" applyBorder="1" applyAlignment="1">
      <alignment horizontal="left" vertical="top"/>
    </xf>
    <xf numFmtId="0" fontId="92" fillId="50" borderId="36" xfId="0" applyFont="1" applyFill="1" applyBorder="1" applyAlignment="1">
      <alignment horizontal="left" vertical="center"/>
    </xf>
    <xf numFmtId="0" fontId="3" fillId="50" borderId="31" xfId="0" applyFont="1" applyFill="1" applyBorder="1" applyAlignment="1">
      <alignment vertical="center"/>
    </xf>
    <xf numFmtId="0" fontId="3" fillId="50" borderId="14" xfId="0" applyFont="1" applyFill="1" applyBorder="1" applyAlignment="1">
      <alignment vertical="top"/>
    </xf>
    <xf numFmtId="0" fontId="3" fillId="50" borderId="100" xfId="0" applyFont="1" applyFill="1" applyBorder="1" applyAlignment="1">
      <alignment vertical="top"/>
    </xf>
    <xf numFmtId="0" fontId="3" fillId="0" borderId="38" xfId="0" applyFont="1" applyBorder="1" applyAlignment="1">
      <alignment horizontal="center" vertical="center"/>
    </xf>
    <xf numFmtId="0" fontId="3" fillId="0" borderId="58" xfId="0" applyFont="1" applyBorder="1" applyAlignment="1">
      <alignment horizontal="center" vertical="center"/>
    </xf>
    <xf numFmtId="0" fontId="3" fillId="0" borderId="94" xfId="0" applyFont="1" applyBorder="1" applyAlignment="1">
      <alignment horizontal="center" vertical="top"/>
    </xf>
    <xf numFmtId="0" fontId="3" fillId="50" borderId="63" xfId="0" applyFont="1" applyFill="1" applyBorder="1" applyAlignment="1">
      <alignment vertical="top"/>
    </xf>
    <xf numFmtId="0" fontId="3" fillId="0" borderId="101" xfId="0" applyFont="1" applyBorder="1" applyAlignment="1">
      <alignment horizontal="center" vertical="top" wrapText="1"/>
    </xf>
    <xf numFmtId="0" fontId="3" fillId="50" borderId="83" xfId="0" applyFont="1" applyFill="1" applyBorder="1" applyAlignment="1">
      <alignment horizontal="left" vertical="top"/>
    </xf>
    <xf numFmtId="0" fontId="3" fillId="50" borderId="83" xfId="0" applyFont="1" applyFill="1" applyBorder="1" applyAlignment="1">
      <alignment horizontal="left" vertical="top" wrapText="1"/>
    </xf>
    <xf numFmtId="0" fontId="92" fillId="50" borderId="84" xfId="0" applyFont="1" applyFill="1" applyBorder="1" applyAlignment="1">
      <alignment horizontal="left" vertical="center"/>
    </xf>
    <xf numFmtId="0" fontId="3" fillId="50" borderId="82" xfId="0" applyFont="1" applyFill="1" applyBorder="1" applyAlignment="1">
      <alignment vertical="center"/>
    </xf>
    <xf numFmtId="0" fontId="3" fillId="0" borderId="102" xfId="0" applyFont="1" applyBorder="1" applyAlignment="1">
      <alignment horizontal="center" vertical="top" wrapText="1"/>
    </xf>
    <xf numFmtId="0" fontId="3" fillId="50" borderId="100" xfId="0" applyFont="1" applyFill="1" applyBorder="1" applyAlignment="1">
      <alignment vertical="center"/>
    </xf>
    <xf numFmtId="2" fontId="3" fillId="0" borderId="101" xfId="0" applyNumberFormat="1" applyFont="1" applyBorder="1" applyAlignment="1">
      <alignment horizontal="center" vertical="center" wrapText="1"/>
    </xf>
    <xf numFmtId="2" fontId="3" fillId="0" borderId="93" xfId="0" applyNumberFormat="1" applyFont="1" applyBorder="1" applyAlignment="1">
      <alignment horizontal="center" vertical="center" wrapText="1"/>
    </xf>
    <xf numFmtId="2" fontId="3" fillId="0" borderId="102" xfId="0" applyNumberFormat="1" applyFont="1" applyBorder="1" applyAlignment="1">
      <alignment horizontal="center" vertical="center" wrapText="1"/>
    </xf>
    <xf numFmtId="0" fontId="4" fillId="36" borderId="14" xfId="64" applyFont="1" applyFill="1" applyBorder="1" applyAlignment="1" applyProtection="1">
      <alignment/>
      <protection locked="0"/>
    </xf>
    <xf numFmtId="179" fontId="4" fillId="36" borderId="14" xfId="64" applyNumberFormat="1" applyFont="1" applyFill="1" applyBorder="1" applyAlignment="1" applyProtection="1">
      <alignment horizontal="left"/>
      <protection locked="0"/>
    </xf>
    <xf numFmtId="0" fontId="4" fillId="36" borderId="14" xfId="64" applyFont="1" applyFill="1" applyBorder="1" applyProtection="1">
      <alignment/>
      <protection locked="0"/>
    </xf>
    <xf numFmtId="1" fontId="4" fillId="36" borderId="14" xfId="64" applyNumberFormat="1" applyFont="1" applyFill="1" applyBorder="1" applyAlignment="1" applyProtection="1">
      <alignment horizontal="left"/>
      <protection locked="0"/>
    </xf>
    <xf numFmtId="49" fontId="5" fillId="36" borderId="14" xfId="59" applyNumberFormat="1" applyFill="1" applyBorder="1" applyAlignment="1" applyProtection="1">
      <alignment/>
      <protection locked="0"/>
    </xf>
    <xf numFmtId="49" fontId="4" fillId="36" borderId="14" xfId="64" applyNumberFormat="1" applyFont="1" applyFill="1" applyBorder="1" applyProtection="1">
      <alignment/>
      <protection locked="0"/>
    </xf>
    <xf numFmtId="0" fontId="4" fillId="36" borderId="14" xfId="64" applyFont="1" applyFill="1" applyBorder="1" applyAlignment="1" applyProtection="1">
      <alignment horizontal="left"/>
      <protection locked="0"/>
    </xf>
    <xf numFmtId="0" fontId="73" fillId="36" borderId="14" xfId="64" applyFill="1" applyBorder="1" applyAlignment="1">
      <alignment horizontal="left"/>
      <protection/>
    </xf>
    <xf numFmtId="179" fontId="73" fillId="36" borderId="14" xfId="64" applyNumberFormat="1" applyFill="1" applyBorder="1" applyAlignment="1" applyProtection="1">
      <alignment horizontal="left"/>
      <protection locked="0"/>
    </xf>
    <xf numFmtId="14" fontId="4" fillId="36" borderId="14" xfId="64" applyNumberFormat="1" applyFont="1" applyFill="1" applyBorder="1" applyAlignment="1" applyProtection="1">
      <alignment horizontal="left"/>
      <protection locked="0"/>
    </xf>
    <xf numFmtId="6" fontId="3" fillId="0" borderId="103" xfId="0" applyNumberFormat="1" applyFont="1" applyBorder="1" applyAlignment="1">
      <alignment horizontal="center" vertical="center"/>
    </xf>
    <xf numFmtId="6" fontId="3" fillId="0" borderId="104" xfId="0" applyNumberFormat="1" applyFont="1" applyBorder="1" applyAlignment="1">
      <alignment horizontal="center" vertical="center"/>
    </xf>
    <xf numFmtId="0" fontId="3" fillId="43" borderId="14" xfId="0" applyFont="1" applyFill="1" applyBorder="1" applyAlignment="1">
      <alignment horizontal="center" vertical="top" wrapText="1"/>
    </xf>
    <xf numFmtId="0" fontId="3" fillId="43" borderId="36" xfId="0" applyFont="1" applyFill="1" applyBorder="1" applyAlignment="1">
      <alignment horizontal="center" vertical="top" wrapText="1"/>
    </xf>
    <xf numFmtId="6" fontId="3" fillId="0" borderId="105" xfId="0" applyNumberFormat="1" applyFont="1" applyBorder="1" applyAlignment="1">
      <alignment horizontal="center" vertical="center"/>
    </xf>
    <xf numFmtId="6" fontId="3" fillId="0" borderId="106" xfId="0" applyNumberFormat="1" applyFont="1" applyBorder="1" applyAlignment="1">
      <alignment horizontal="center" vertical="center"/>
    </xf>
    <xf numFmtId="0" fontId="3" fillId="43" borderId="13" xfId="0" applyFont="1" applyFill="1" applyBorder="1" applyAlignment="1">
      <alignment horizontal="center" vertical="top" wrapText="1"/>
    </xf>
    <xf numFmtId="0" fontId="3" fillId="43" borderId="60" xfId="0" applyFont="1" applyFill="1" applyBorder="1" applyAlignment="1">
      <alignment horizontal="center" vertical="top" wrapText="1"/>
    </xf>
    <xf numFmtId="6" fontId="3" fillId="0" borderId="107" xfId="0" applyNumberFormat="1" applyFont="1" applyBorder="1" applyAlignment="1">
      <alignment horizontal="center" vertical="center"/>
    </xf>
    <xf numFmtId="6" fontId="3" fillId="0" borderId="108" xfId="0" applyNumberFormat="1" applyFont="1" applyBorder="1" applyAlignment="1">
      <alignment horizontal="center" vertical="center"/>
    </xf>
    <xf numFmtId="0" fontId="3" fillId="43" borderId="98" xfId="0" applyFont="1" applyFill="1" applyBorder="1" applyAlignment="1">
      <alignment horizontal="center" vertical="top" wrapText="1"/>
    </xf>
    <xf numFmtId="0" fontId="3" fillId="43" borderId="99" xfId="0" applyFont="1" applyFill="1" applyBorder="1" applyAlignment="1">
      <alignment horizontal="center" vertical="top" wrapText="1"/>
    </xf>
    <xf numFmtId="6" fontId="3" fillId="0" borderId="109" xfId="0" applyNumberFormat="1" applyFont="1" applyBorder="1" applyAlignment="1">
      <alignment horizontal="center" vertical="center"/>
    </xf>
    <xf numFmtId="6" fontId="3" fillId="0" borderId="110" xfId="0" applyNumberFormat="1" applyFont="1" applyBorder="1" applyAlignment="1">
      <alignment horizontal="center" vertical="center"/>
    </xf>
    <xf numFmtId="6" fontId="3" fillId="0" borderId="111" xfId="0" applyNumberFormat="1" applyFont="1" applyBorder="1" applyAlignment="1">
      <alignment horizontal="center" vertical="center"/>
    </xf>
    <xf numFmtId="6" fontId="3" fillId="0" borderId="112" xfId="0" applyNumberFormat="1" applyFont="1" applyBorder="1" applyAlignment="1">
      <alignment horizontal="center" vertical="center"/>
    </xf>
    <xf numFmtId="0" fontId="3" fillId="43" borderId="83" xfId="0" applyFont="1" applyFill="1" applyBorder="1" applyAlignment="1">
      <alignment horizontal="center" vertical="top" wrapText="1"/>
    </xf>
    <xf numFmtId="0" fontId="3" fillId="43" borderId="84" xfId="0" applyFont="1" applyFill="1" applyBorder="1" applyAlignment="1">
      <alignment horizontal="center" vertical="top" wrapText="1"/>
    </xf>
    <xf numFmtId="6" fontId="3" fillId="0" borderId="113" xfId="0" applyNumberFormat="1" applyFont="1" applyBorder="1" applyAlignment="1">
      <alignment horizontal="center" vertical="center"/>
    </xf>
    <xf numFmtId="6" fontId="3" fillId="0" borderId="114" xfId="0" applyNumberFormat="1" applyFont="1" applyBorder="1" applyAlignment="1">
      <alignment horizontal="center" vertical="center"/>
    </xf>
    <xf numFmtId="6" fontId="3" fillId="0" borderId="115" xfId="0" applyNumberFormat="1" applyFont="1" applyBorder="1" applyAlignment="1">
      <alignment horizontal="center" vertical="center"/>
    </xf>
    <xf numFmtId="0" fontId="6" fillId="35" borderId="22" xfId="0" applyFont="1" applyFill="1" applyBorder="1" applyAlignment="1">
      <alignment horizontal="center" vertical="top" wrapText="1"/>
    </xf>
    <xf numFmtId="0" fontId="6" fillId="35" borderId="43" xfId="0" applyFont="1" applyFill="1" applyBorder="1" applyAlignment="1">
      <alignment horizontal="center" vertical="top" wrapText="1"/>
    </xf>
    <xf numFmtId="0" fontId="3" fillId="0" borderId="0" xfId="0" applyFont="1" applyAlignment="1">
      <alignment horizontal="left" vertical="top" wrapText="1"/>
    </xf>
    <xf numFmtId="0" fontId="6" fillId="35" borderId="116" xfId="0" applyFont="1" applyFill="1" applyBorder="1" applyAlignment="1">
      <alignment horizontal="center" vertical="top" wrapText="1"/>
    </xf>
    <xf numFmtId="0" fontId="6" fillId="35" borderId="117" xfId="0" applyFont="1" applyFill="1" applyBorder="1" applyAlignment="1">
      <alignment horizontal="center" vertical="top" wrapText="1"/>
    </xf>
    <xf numFmtId="6" fontId="3" fillId="0" borderId="118" xfId="0" applyNumberFormat="1" applyFont="1" applyBorder="1" applyAlignment="1">
      <alignment horizontal="center" vertical="center"/>
    </xf>
    <xf numFmtId="6" fontId="3" fillId="0" borderId="119" xfId="0" applyNumberFormat="1" applyFont="1" applyBorder="1" applyAlignment="1">
      <alignment horizontal="center" vertical="center"/>
    </xf>
    <xf numFmtId="0" fontId="4" fillId="35" borderId="90" xfId="0" applyFont="1" applyFill="1" applyBorder="1" applyAlignment="1">
      <alignment horizontal="center" vertical="top"/>
    </xf>
    <xf numFmtId="0" fontId="4" fillId="35" borderId="65" xfId="0" applyFont="1" applyFill="1" applyBorder="1" applyAlignment="1">
      <alignment horizontal="center" vertical="top"/>
    </xf>
    <xf numFmtId="0" fontId="4" fillId="35" borderId="67" xfId="0" applyFont="1" applyFill="1" applyBorder="1" applyAlignment="1">
      <alignment horizontal="center" vertical="top"/>
    </xf>
    <xf numFmtId="0" fontId="6" fillId="35" borderId="19" xfId="0" applyFont="1" applyFill="1" applyBorder="1" applyAlignment="1">
      <alignment horizontal="center" vertical="top" wrapText="1"/>
    </xf>
    <xf numFmtId="0" fontId="6" fillId="35" borderId="120" xfId="0" applyFont="1" applyFill="1" applyBorder="1" applyAlignment="1">
      <alignment horizontal="center" vertical="top" wrapText="1"/>
    </xf>
    <xf numFmtId="0" fontId="3" fillId="50" borderId="14" xfId="0" applyFont="1" applyFill="1" applyBorder="1" applyAlignment="1">
      <alignment horizontal="left" vertical="top" wrapText="1"/>
    </xf>
    <xf numFmtId="0" fontId="6" fillId="35" borderId="82" xfId="0" applyFont="1" applyFill="1" applyBorder="1" applyAlignment="1" quotePrefix="1">
      <alignment horizontal="center" vertical="top" wrapText="1"/>
    </xf>
    <xf numFmtId="0" fontId="6" fillId="35" borderId="83" xfId="0" applyFont="1" applyFill="1" applyBorder="1" applyAlignment="1" quotePrefix="1">
      <alignment horizontal="center" vertical="top" wrapText="1"/>
    </xf>
    <xf numFmtId="0" fontId="6" fillId="35" borderId="20" xfId="0" applyFont="1" applyFill="1" applyBorder="1" applyAlignment="1">
      <alignment horizontal="center" vertical="center"/>
    </xf>
    <xf numFmtId="0" fontId="6" fillId="35" borderId="22" xfId="0" applyFont="1" applyFill="1" applyBorder="1" applyAlignment="1">
      <alignment horizontal="center" vertical="center"/>
    </xf>
    <xf numFmtId="0" fontId="6" fillId="35" borderId="43" xfId="0" applyFont="1" applyFill="1" applyBorder="1" applyAlignment="1">
      <alignment horizontal="center" vertical="center"/>
    </xf>
    <xf numFmtId="6" fontId="3" fillId="0" borderId="121" xfId="0" applyNumberFormat="1" applyFont="1" applyBorder="1" applyAlignment="1">
      <alignment horizontal="center" vertical="center"/>
    </xf>
    <xf numFmtId="6" fontId="3" fillId="0" borderId="122" xfId="0" applyNumberFormat="1" applyFont="1" applyBorder="1" applyAlignment="1">
      <alignment horizontal="center" vertical="center"/>
    </xf>
    <xf numFmtId="6" fontId="3" fillId="0" borderId="123" xfId="0" applyNumberFormat="1"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2" fillId="35" borderId="20" xfId="0" applyFont="1" applyFill="1" applyBorder="1" applyAlignment="1" quotePrefix="1">
      <alignment horizontal="left" vertical="center"/>
    </xf>
    <xf numFmtId="0" fontId="2" fillId="35" borderId="22" xfId="0" applyFont="1" applyFill="1" applyBorder="1" applyAlignment="1" quotePrefix="1">
      <alignment horizontal="left" vertical="center"/>
    </xf>
    <xf numFmtId="0" fontId="2" fillId="35" borderId="43" xfId="0" applyFont="1" applyFill="1" applyBorder="1" applyAlignment="1" quotePrefix="1">
      <alignment horizontal="left" vertical="center"/>
    </xf>
    <xf numFmtId="0" fontId="6" fillId="35" borderId="124" xfId="0" applyFont="1" applyFill="1" applyBorder="1" applyAlignment="1">
      <alignment horizontal="center" vertical="top" wrapText="1"/>
    </xf>
    <xf numFmtId="0" fontId="4" fillId="35" borderId="64" xfId="0" applyFont="1" applyFill="1" applyBorder="1" applyAlignment="1">
      <alignment horizontal="center" vertical="top" wrapText="1"/>
    </xf>
    <xf numFmtId="0" fontId="0" fillId="0" borderId="65" xfId="0" applyFont="1" applyBorder="1" applyAlignment="1">
      <alignment horizontal="center" vertical="top" wrapText="1"/>
    </xf>
    <xf numFmtId="0" fontId="0" fillId="0" borderId="67" xfId="0" applyFont="1" applyBorder="1" applyAlignment="1">
      <alignment horizontal="center" vertical="top" wrapText="1"/>
    </xf>
    <xf numFmtId="0" fontId="3" fillId="43" borderId="51" xfId="0" applyFont="1" applyFill="1" applyBorder="1" applyAlignment="1">
      <alignment horizontal="center" vertical="top"/>
    </xf>
    <xf numFmtId="0" fontId="3" fillId="43" borderId="125" xfId="0" applyFont="1" applyFill="1" applyBorder="1" applyAlignment="1">
      <alignment horizontal="center" vertical="top"/>
    </xf>
    <xf numFmtId="0" fontId="3" fillId="43" borderId="25" xfId="0" applyFont="1" applyFill="1" applyBorder="1" applyAlignment="1">
      <alignment horizontal="center" vertical="top"/>
    </xf>
    <xf numFmtId="0" fontId="3" fillId="43" borderId="126" xfId="0" applyFont="1" applyFill="1" applyBorder="1" applyAlignment="1">
      <alignment horizontal="center" vertical="top"/>
    </xf>
    <xf numFmtId="0" fontId="4" fillId="35" borderId="65" xfId="0" applyFont="1" applyFill="1" applyBorder="1" applyAlignment="1">
      <alignment horizontal="center" vertical="top" wrapText="1"/>
    </xf>
    <xf numFmtId="0" fontId="4" fillId="35" borderId="67" xfId="0" applyFont="1" applyFill="1" applyBorder="1" applyAlignment="1">
      <alignment horizontal="center" vertical="top" wrapText="1"/>
    </xf>
    <xf numFmtId="0" fontId="3" fillId="43" borderId="62" xfId="0" applyFont="1" applyFill="1" applyBorder="1" applyAlignment="1">
      <alignment horizontal="center" vertical="top"/>
    </xf>
    <xf numFmtId="0" fontId="3" fillId="43" borderId="127" xfId="0" applyFont="1" applyFill="1" applyBorder="1" applyAlignment="1">
      <alignment horizontal="center" vertical="top"/>
    </xf>
    <xf numFmtId="0" fontId="3" fillId="0" borderId="100" xfId="0" applyFont="1" applyBorder="1" applyAlignment="1">
      <alignment horizontal="center" vertical="center"/>
    </xf>
    <xf numFmtId="0" fontId="3" fillId="0" borderId="98" xfId="0" applyFont="1" applyBorder="1" applyAlignment="1">
      <alignment horizontal="center" vertical="center"/>
    </xf>
    <xf numFmtId="172" fontId="37" fillId="0" borderId="28" xfId="0" applyNumberFormat="1" applyFont="1" applyBorder="1" applyAlignment="1">
      <alignment horizontal="center" vertical="center"/>
    </xf>
    <xf numFmtId="172" fontId="37" fillId="0" borderId="60" xfId="0" applyNumberFormat="1" applyFont="1" applyBorder="1" applyAlignment="1">
      <alignment horizontal="center" vertical="center"/>
    </xf>
    <xf numFmtId="172" fontId="37" fillId="0" borderId="82" xfId="0" applyNumberFormat="1" applyFont="1" applyBorder="1" applyAlignment="1">
      <alignment horizontal="center" vertical="center"/>
    </xf>
    <xf numFmtId="172" fontId="37" fillId="0" borderId="84" xfId="0" applyNumberFormat="1" applyFont="1" applyBorder="1" applyAlignment="1">
      <alignment horizontal="center" vertical="center"/>
    </xf>
    <xf numFmtId="49" fontId="9" fillId="35" borderId="128" xfId="0" applyNumberFormat="1" applyFont="1" applyFill="1" applyBorder="1" applyAlignment="1" quotePrefix="1">
      <alignment horizontal="center" vertical="center"/>
    </xf>
    <xf numFmtId="49" fontId="9" fillId="35" borderId="129" xfId="0" applyNumberFormat="1" applyFont="1" applyFill="1" applyBorder="1" applyAlignment="1" quotePrefix="1">
      <alignment horizontal="center" vertical="center"/>
    </xf>
    <xf numFmtId="49" fontId="9" fillId="35" borderId="130" xfId="0" applyNumberFormat="1" applyFont="1" applyFill="1" applyBorder="1" applyAlignment="1" quotePrefix="1">
      <alignment horizontal="center" vertical="center"/>
    </xf>
    <xf numFmtId="0" fontId="38" fillId="35" borderId="45" xfId="0" applyFont="1" applyFill="1" applyBorder="1" applyAlignment="1">
      <alignment horizontal="center" vertical="top" wrapText="1"/>
    </xf>
    <xf numFmtId="0" fontId="38" fillId="35" borderId="59" xfId="0" applyFont="1" applyFill="1" applyBorder="1" applyAlignment="1">
      <alignment horizontal="center" vertical="top" wrapText="1"/>
    </xf>
    <xf numFmtId="0" fontId="38" fillId="35" borderId="131" xfId="0" applyFont="1" applyFill="1" applyBorder="1" applyAlignment="1">
      <alignment horizontal="center" vertical="top" wrapText="1"/>
    </xf>
    <xf numFmtId="0" fontId="38" fillId="35" borderId="11" xfId="0" applyFont="1" applyFill="1" applyBorder="1" applyAlignment="1" quotePrefix="1">
      <alignment horizontal="center" vertical="top" wrapText="1"/>
    </xf>
    <xf numFmtId="0" fontId="37" fillId="0" borderId="25" xfId="0" applyFont="1" applyBorder="1" applyAlignment="1">
      <alignment horizontal="left" vertical="center" wrapText="1"/>
    </xf>
    <xf numFmtId="0" fontId="37" fillId="0" borderId="11" xfId="0" applyFont="1" applyBorder="1" applyAlignment="1">
      <alignment horizontal="left" vertical="center" wrapText="1"/>
    </xf>
    <xf numFmtId="0" fontId="37" fillId="0" borderId="27" xfId="0" applyFont="1" applyBorder="1" applyAlignment="1">
      <alignment horizontal="left" vertical="center" wrapText="1"/>
    </xf>
    <xf numFmtId="0" fontId="3" fillId="0" borderId="132" xfId="0" applyFont="1" applyBorder="1" applyAlignment="1">
      <alignment horizontal="center" vertical="center"/>
    </xf>
    <xf numFmtId="0" fontId="3" fillId="0" borderId="26" xfId="0" applyFont="1" applyBorder="1" applyAlignment="1">
      <alignment horizontal="center" vertic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3" fillId="0" borderId="12" xfId="0" applyFont="1" applyBorder="1" applyAlignment="1">
      <alignment horizontal="center" vertical="center"/>
    </xf>
    <xf numFmtId="0" fontId="3" fillId="0" borderId="135" xfId="0" applyFont="1" applyBorder="1" applyAlignment="1">
      <alignment horizontal="center" vertical="center"/>
    </xf>
    <xf numFmtId="0" fontId="6" fillId="0" borderId="0" xfId="0" applyFont="1" applyBorder="1" applyAlignment="1">
      <alignment horizontal="left"/>
    </xf>
    <xf numFmtId="0" fontId="6" fillId="0" borderId="0" xfId="0" applyFont="1" applyAlignment="1">
      <alignment horizontal="left"/>
    </xf>
    <xf numFmtId="0" fontId="38" fillId="35" borderId="17" xfId="0" applyFont="1" applyFill="1" applyBorder="1" applyAlignment="1">
      <alignment horizontal="center" vertical="top" wrapText="1"/>
    </xf>
    <xf numFmtId="0" fontId="37" fillId="0" borderId="51" xfId="0" applyFont="1" applyBorder="1" applyAlignment="1">
      <alignment horizontal="left" vertical="center" wrapText="1"/>
    </xf>
    <xf numFmtId="0" fontId="37" fillId="0" borderId="32" xfId="0" applyFont="1" applyBorder="1" applyAlignment="1">
      <alignment horizontal="left" vertical="center" wrapText="1"/>
    </xf>
    <xf numFmtId="0" fontId="37" fillId="0" borderId="35" xfId="0" applyFont="1" applyBorder="1" applyAlignment="1">
      <alignment horizontal="left" vertical="center" wrapText="1"/>
    </xf>
    <xf numFmtId="0" fontId="4" fillId="35" borderId="66" xfId="0" applyFont="1" applyFill="1" applyBorder="1" applyAlignment="1">
      <alignment horizontal="center" vertical="top" wrapText="1"/>
    </xf>
    <xf numFmtId="0" fontId="4" fillId="35" borderId="82" xfId="0" applyFont="1" applyFill="1" applyBorder="1" applyAlignment="1">
      <alignment horizontal="center" vertical="top"/>
    </xf>
    <xf numFmtId="0" fontId="4" fillId="35" borderId="83" xfId="0" applyFont="1" applyFill="1" applyBorder="1" applyAlignment="1">
      <alignment horizontal="center" vertical="top"/>
    </xf>
    <xf numFmtId="0" fontId="4" fillId="35" borderId="84" xfId="0" applyFont="1" applyFill="1" applyBorder="1" applyAlignment="1">
      <alignment horizontal="center" vertical="top"/>
    </xf>
    <xf numFmtId="172" fontId="27" fillId="0" borderId="136" xfId="0" applyNumberFormat="1" applyFont="1" applyFill="1" applyBorder="1" applyAlignment="1">
      <alignment horizontal="center" vertical="center"/>
    </xf>
    <xf numFmtId="172" fontId="27" fillId="0" borderId="137" xfId="0" applyNumberFormat="1" applyFont="1" applyFill="1" applyBorder="1" applyAlignment="1">
      <alignment horizontal="center" vertical="center"/>
    </xf>
    <xf numFmtId="0" fontId="4" fillId="35" borderId="64" xfId="0" applyFont="1" applyFill="1" applyBorder="1" applyAlignment="1">
      <alignment horizontal="center" vertical="top"/>
    </xf>
    <xf numFmtId="0" fontId="4" fillId="35" borderId="66" xfId="0" applyFont="1" applyFill="1" applyBorder="1" applyAlignment="1">
      <alignment horizontal="center" vertical="top"/>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3" fillId="0" borderId="69" xfId="0" applyFont="1" applyBorder="1" applyAlignment="1">
      <alignment horizontal="center" vertical="center"/>
    </xf>
    <xf numFmtId="0" fontId="0" fillId="0" borderId="0" xfId="0" applyFont="1" applyAlignment="1">
      <alignment horizontal="left" vertical="top" wrapText="1"/>
    </xf>
    <xf numFmtId="6" fontId="37" fillId="0" borderId="11" xfId="0" applyNumberFormat="1" applyFont="1" applyBorder="1" applyAlignment="1">
      <alignment horizontal="center" vertical="center"/>
    </xf>
    <xf numFmtId="6" fontId="37" fillId="0" borderId="12" xfId="0" applyNumberFormat="1" applyFont="1" applyBorder="1" applyAlignment="1">
      <alignment horizontal="center" vertical="center"/>
    </xf>
    <xf numFmtId="172" fontId="37" fillId="0" borderId="140" xfId="0" applyNumberFormat="1" applyFont="1" applyBorder="1" applyAlignment="1">
      <alignment horizontal="center" vertical="center"/>
    </xf>
    <xf numFmtId="172" fontId="37" fillId="0" borderId="141" xfId="0" applyNumberFormat="1" applyFont="1" applyBorder="1" applyAlignment="1">
      <alignment horizontal="center" vertical="center"/>
    </xf>
    <xf numFmtId="0" fontId="9" fillId="35" borderId="142" xfId="0" applyFont="1" applyFill="1" applyBorder="1" applyAlignment="1">
      <alignment horizontal="center" vertical="center"/>
    </xf>
    <xf numFmtId="0" fontId="9" fillId="35" borderId="143" xfId="0" applyFont="1" applyFill="1" applyBorder="1" applyAlignment="1">
      <alignment horizontal="center" vertical="center"/>
    </xf>
    <xf numFmtId="0" fontId="9" fillId="35" borderId="144" xfId="0" applyFont="1" applyFill="1" applyBorder="1" applyAlignment="1">
      <alignment horizontal="center" vertical="center"/>
    </xf>
    <xf numFmtId="0" fontId="38" fillId="35" borderId="11" xfId="0" applyFont="1" applyFill="1" applyBorder="1" applyAlignment="1">
      <alignment horizontal="center" vertical="top" wrapText="1"/>
    </xf>
    <xf numFmtId="0" fontId="38" fillId="35" borderId="126" xfId="0" applyFont="1" applyFill="1" applyBorder="1" applyAlignment="1">
      <alignment horizontal="center" vertical="top" wrapText="1"/>
    </xf>
    <xf numFmtId="0" fontId="37" fillId="0" borderId="11" xfId="0" applyFont="1" applyBorder="1" applyAlignment="1">
      <alignment horizontal="center"/>
    </xf>
    <xf numFmtId="0" fontId="38" fillId="35" borderId="56" xfId="0" applyFont="1" applyFill="1" applyBorder="1" applyAlignment="1">
      <alignment horizontal="center" vertical="top" wrapText="1"/>
    </xf>
    <xf numFmtId="0" fontId="37" fillId="0" borderId="32" xfId="0" applyFont="1" applyBorder="1" applyAlignment="1">
      <alignment horizontal="center"/>
    </xf>
    <xf numFmtId="0" fontId="38" fillId="35" borderId="145" xfId="0" applyFont="1" applyFill="1" applyBorder="1" applyAlignment="1">
      <alignment horizontal="center" vertical="top" wrapText="1"/>
    </xf>
    <xf numFmtId="6" fontId="37" fillId="0" borderId="32" xfId="0" applyNumberFormat="1" applyFont="1" applyBorder="1" applyAlignment="1">
      <alignment horizontal="center" vertical="center"/>
    </xf>
    <xf numFmtId="6" fontId="37" fillId="0" borderId="30" xfId="0" applyNumberFormat="1" applyFont="1" applyBorder="1" applyAlignment="1">
      <alignment horizontal="center" vertical="center"/>
    </xf>
    <xf numFmtId="0" fontId="37" fillId="0" borderId="146" xfId="0" applyFont="1" applyBorder="1" applyAlignment="1">
      <alignment horizontal="left" vertical="center" wrapText="1"/>
    </xf>
    <xf numFmtId="0" fontId="37" fillId="0" borderId="147" xfId="0" applyFont="1" applyBorder="1" applyAlignment="1">
      <alignment horizontal="left" vertical="center" wrapText="1"/>
    </xf>
    <xf numFmtId="0" fontId="37" fillId="0" borderId="148" xfId="0" applyFont="1" applyBorder="1" applyAlignment="1">
      <alignment horizontal="left" vertical="center" wrapText="1"/>
    </xf>
    <xf numFmtId="6" fontId="37" fillId="0" borderId="147" xfId="0" applyNumberFormat="1" applyFont="1" applyBorder="1" applyAlignment="1">
      <alignment horizontal="center" vertical="center"/>
    </xf>
    <xf numFmtId="6" fontId="37" fillId="0" borderId="133" xfId="0" applyNumberFormat="1" applyFont="1" applyBorder="1" applyAlignment="1">
      <alignment horizontal="center" vertical="center"/>
    </xf>
    <xf numFmtId="0" fontId="37" fillId="0" borderId="147" xfId="0" applyFont="1" applyBorder="1" applyAlignment="1">
      <alignment horizontal="center"/>
    </xf>
    <xf numFmtId="0" fontId="3" fillId="0" borderId="10" xfId="0" applyFont="1" applyBorder="1" applyAlignment="1">
      <alignment horizontal="center" vertical="center"/>
    </xf>
    <xf numFmtId="0" fontId="3" fillId="0" borderId="149" xfId="0" applyFont="1" applyBorder="1" applyAlignment="1">
      <alignment horizontal="center" vertical="center"/>
    </xf>
    <xf numFmtId="0" fontId="2" fillId="35" borderId="12" xfId="0" applyFont="1" applyFill="1" applyBorder="1" applyAlignment="1" quotePrefix="1">
      <alignment vertical="center"/>
    </xf>
    <xf numFmtId="0" fontId="2" fillId="35" borderId="13" xfId="0" applyFont="1" applyFill="1" applyBorder="1" applyAlignment="1">
      <alignment vertical="center"/>
    </xf>
    <xf numFmtId="0" fontId="2" fillId="35" borderId="26" xfId="0" applyFont="1" applyFill="1" applyBorder="1" applyAlignment="1">
      <alignment vertical="center"/>
    </xf>
    <xf numFmtId="0" fontId="4" fillId="0" borderId="12"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8" fillId="42" borderId="11" xfId="0" applyFont="1" applyFill="1" applyBorder="1" applyAlignment="1">
      <alignment horizontal="center" vertical="center"/>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60" xfId="0" applyFont="1" applyFill="1" applyBorder="1" applyAlignment="1">
      <alignment horizontal="center" vertical="center" wrapText="1"/>
    </xf>
    <xf numFmtId="49" fontId="4" fillId="0" borderId="12" xfId="0" applyNumberFormat="1" applyFont="1" applyBorder="1" applyAlignment="1" applyProtection="1">
      <alignment horizontal="center" vertical="center"/>
      <protection locked="0"/>
    </xf>
    <xf numFmtId="49" fontId="4" fillId="0" borderId="26" xfId="0" applyNumberFormat="1" applyFont="1" applyBorder="1" applyAlignment="1" applyProtection="1">
      <alignment horizontal="center" vertical="center"/>
      <protection locked="0"/>
    </xf>
    <xf numFmtId="0" fontId="4" fillId="35" borderId="28" xfId="0" applyFont="1" applyFill="1" applyBorder="1" applyAlignment="1">
      <alignment horizontal="center" vertical="center"/>
    </xf>
    <xf numFmtId="0" fontId="4" fillId="35" borderId="13" xfId="0" applyFont="1" applyFill="1" applyBorder="1" applyAlignment="1">
      <alignment horizontal="center" vertical="center"/>
    </xf>
    <xf numFmtId="0" fontId="4" fillId="35" borderId="60" xfId="0" applyFont="1" applyFill="1" applyBorder="1" applyAlignment="1">
      <alignment horizontal="center" vertical="center"/>
    </xf>
    <xf numFmtId="0" fontId="0" fillId="40" borderId="11" xfId="0" applyFill="1" applyBorder="1" applyAlignment="1">
      <alignment horizontal="center"/>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26" xfId="0" applyFont="1" applyBorder="1" applyAlignment="1">
      <alignment vertical="center" wrapText="1"/>
    </xf>
    <xf numFmtId="0" fontId="4" fillId="40" borderId="11" xfId="0" applyFont="1" applyFill="1" applyBorder="1" applyAlignment="1">
      <alignment horizontal="left"/>
    </xf>
    <xf numFmtId="0" fontId="4" fillId="40" borderId="11" xfId="0" applyFont="1" applyFill="1" applyBorder="1" applyAlignment="1">
      <alignment horizontal="center" wrapText="1"/>
    </xf>
    <xf numFmtId="0" fontId="6" fillId="42" borderId="30" xfId="0" applyFont="1" applyFill="1" applyBorder="1" applyAlignment="1">
      <alignment horizontal="center" vertical="center" wrapText="1"/>
    </xf>
    <xf numFmtId="0" fontId="6" fillId="42" borderId="52" xfId="0" applyFont="1" applyFill="1" applyBorder="1" applyAlignment="1">
      <alignment horizontal="center" vertical="center" wrapText="1"/>
    </xf>
    <xf numFmtId="0" fontId="4" fillId="35" borderId="12" xfId="0" applyFont="1" applyFill="1" applyBorder="1" applyAlignment="1">
      <alignment horizontal="center" wrapText="1"/>
    </xf>
    <xf numFmtId="0" fontId="4" fillId="35" borderId="26" xfId="0" applyFont="1" applyFill="1" applyBorder="1" applyAlignment="1">
      <alignment horizontal="center" wrapText="1"/>
    </xf>
    <xf numFmtId="0" fontId="4" fillId="35" borderId="11" xfId="0" applyFont="1" applyFill="1" applyBorder="1" applyAlignment="1">
      <alignment horizontal="center" wrapText="1"/>
    </xf>
    <xf numFmtId="0" fontId="0" fillId="0" borderId="12" xfId="65" applyBorder="1" applyAlignment="1">
      <alignment horizontal="left" vertical="center"/>
      <protection/>
    </xf>
    <xf numFmtId="0" fontId="0" fillId="0" borderId="13" xfId="65" applyBorder="1" applyAlignment="1">
      <alignment horizontal="left" vertical="center"/>
      <protection/>
    </xf>
    <xf numFmtId="0" fontId="6" fillId="35" borderId="23" xfId="0" applyFont="1" applyFill="1" applyBorder="1" applyAlignment="1">
      <alignment horizontal="center" vertical="center"/>
    </xf>
    <xf numFmtId="0" fontId="0" fillId="0" borderId="12" xfId="65" applyFill="1" applyBorder="1" applyAlignment="1">
      <alignment horizontal="left" vertical="center"/>
      <protection/>
    </xf>
    <xf numFmtId="0" fontId="0" fillId="0" borderId="13" xfId="65" applyFill="1" applyBorder="1" applyAlignment="1">
      <alignment horizontal="left" vertical="center"/>
      <protection/>
    </xf>
    <xf numFmtId="0" fontId="27" fillId="35" borderId="30" xfId="0" applyFont="1" applyFill="1" applyBorder="1" applyAlignment="1" quotePrefix="1">
      <alignment horizontal="center" vertical="center" wrapText="1"/>
    </xf>
    <xf numFmtId="0" fontId="27" fillId="35" borderId="14" xfId="0" applyFont="1" applyFill="1" applyBorder="1" applyAlignment="1" quotePrefix="1">
      <alignment horizontal="center" vertical="center" wrapText="1"/>
    </xf>
    <xf numFmtId="172" fontId="4" fillId="0" borderId="45" xfId="0" applyNumberFormat="1" applyFont="1" applyFill="1" applyBorder="1" applyAlignment="1">
      <alignment horizontal="center" vertical="center"/>
    </xf>
    <xf numFmtId="172" fontId="4" fillId="0" borderId="59" xfId="0" applyNumberFormat="1" applyFont="1" applyFill="1" applyBorder="1" applyAlignment="1">
      <alignment horizontal="center" vertical="center"/>
    </xf>
    <xf numFmtId="49" fontId="9" fillId="35" borderId="85" xfId="0" applyNumberFormat="1" applyFont="1" applyFill="1" applyBorder="1" applyAlignment="1" quotePrefix="1">
      <alignment horizontal="left" vertical="center"/>
    </xf>
    <xf numFmtId="49" fontId="9" fillId="35" borderId="86" xfId="0" applyNumberFormat="1" applyFont="1" applyFill="1" applyBorder="1" applyAlignment="1" quotePrefix="1">
      <alignment horizontal="left" vertical="center"/>
    </xf>
    <xf numFmtId="49" fontId="9" fillId="35" borderId="88" xfId="0" applyNumberFormat="1" applyFont="1" applyFill="1" applyBorder="1" applyAlignment="1" quotePrefix="1">
      <alignment horizontal="left" vertical="center"/>
    </xf>
    <xf numFmtId="0" fontId="3" fillId="0" borderId="40" xfId="0" applyFont="1" applyBorder="1" applyAlignment="1">
      <alignment horizontal="center" vertical="center"/>
    </xf>
    <xf numFmtId="0" fontId="3" fillId="0" borderId="99" xfId="0" applyFont="1" applyBorder="1" applyAlignment="1">
      <alignment horizontal="center" vertical="center"/>
    </xf>
    <xf numFmtId="0" fontId="3" fillId="0" borderId="60" xfId="0" applyFont="1" applyBorder="1" applyAlignment="1">
      <alignment horizontal="center" vertical="center"/>
    </xf>
    <xf numFmtId="0" fontId="3" fillId="0" borderId="91" xfId="0" applyFont="1" applyBorder="1" applyAlignment="1">
      <alignment horizontal="center" vertical="center"/>
    </xf>
    <xf numFmtId="0" fontId="9" fillId="35" borderId="82" xfId="0" applyFont="1" applyFill="1" applyBorder="1" applyAlignment="1">
      <alignment horizontal="center" vertical="center"/>
    </xf>
    <xf numFmtId="0" fontId="9" fillId="35" borderId="83" xfId="0" applyFont="1" applyFill="1" applyBorder="1" applyAlignment="1">
      <alignment horizontal="center" vertical="center"/>
    </xf>
    <xf numFmtId="0" fontId="9" fillId="35" borderId="84" xfId="0" applyFont="1" applyFill="1" applyBorder="1" applyAlignment="1">
      <alignment horizontal="center" vertical="center"/>
    </xf>
    <xf numFmtId="0" fontId="38" fillId="35" borderId="20" xfId="0" applyFont="1" applyFill="1" applyBorder="1" applyAlignment="1">
      <alignment horizontal="center" vertical="top" wrapText="1"/>
    </xf>
    <xf numFmtId="0" fontId="38" fillId="35" borderId="22" xfId="0" applyFont="1" applyFill="1" applyBorder="1" applyAlignment="1">
      <alignment horizontal="center" vertical="top" wrapText="1"/>
    </xf>
    <xf numFmtId="0" fontId="38" fillId="35" borderId="43" xfId="0" applyFont="1" applyFill="1" applyBorder="1" applyAlignment="1">
      <alignment horizontal="center" vertical="top" wrapText="1"/>
    </xf>
    <xf numFmtId="0" fontId="38" fillId="35" borderId="19" xfId="0" applyFont="1" applyFill="1" applyBorder="1" applyAlignment="1">
      <alignment horizontal="center" vertical="top" wrapText="1"/>
    </xf>
    <xf numFmtId="0" fontId="38" fillId="35" borderId="54" xfId="0" applyFont="1" applyFill="1" applyBorder="1" applyAlignment="1">
      <alignment horizontal="center" vertical="top" wrapText="1"/>
    </xf>
    <xf numFmtId="0" fontId="38" fillId="35" borderId="21" xfId="0" applyFont="1" applyFill="1" applyBorder="1" applyAlignment="1">
      <alignment horizontal="center" vertical="top" wrapText="1"/>
    </xf>
    <xf numFmtId="0" fontId="38" fillId="35" borderId="25" xfId="0" applyFont="1" applyFill="1" applyBorder="1" applyAlignment="1">
      <alignment horizontal="center" vertical="top" wrapText="1"/>
    </xf>
    <xf numFmtId="0" fontId="38" fillId="35" borderId="12" xfId="0" applyFont="1" applyFill="1" applyBorder="1" applyAlignment="1">
      <alignment horizontal="center" vertical="top" wrapText="1"/>
    </xf>
    <xf numFmtId="0" fontId="38" fillId="35" borderId="60" xfId="0" applyFont="1" applyFill="1" applyBorder="1" applyAlignment="1">
      <alignment horizontal="center" vertical="top" wrapText="1"/>
    </xf>
    <xf numFmtId="0" fontId="37" fillId="0" borderId="79" xfId="0" applyFont="1" applyBorder="1" applyAlignment="1">
      <alignment horizontal="left" vertical="center" wrapText="1"/>
    </xf>
    <xf numFmtId="0" fontId="37" fillId="0" borderId="79" xfId="0" applyFont="1" applyBorder="1" applyAlignment="1">
      <alignment horizontal="center"/>
    </xf>
    <xf numFmtId="6" fontId="37" fillId="0" borderId="79" xfId="0" applyNumberFormat="1" applyFont="1" applyBorder="1" applyAlignment="1">
      <alignment horizontal="center" vertical="center"/>
    </xf>
    <xf numFmtId="172" fontId="37" fillId="0" borderId="79" xfId="0" applyNumberFormat="1" applyFont="1" applyBorder="1" applyAlignment="1">
      <alignment horizontal="center" vertical="center"/>
    </xf>
    <xf numFmtId="172" fontId="37" fillId="0" borderId="150" xfId="0" applyNumberFormat="1" applyFont="1" applyBorder="1" applyAlignment="1">
      <alignment horizontal="center" vertical="center"/>
    </xf>
    <xf numFmtId="0" fontId="33" fillId="48" borderId="151" xfId="0" applyFont="1" applyFill="1" applyBorder="1" applyAlignment="1">
      <alignment horizontal="center" vertical="center"/>
    </xf>
    <xf numFmtId="0" fontId="33" fillId="48" borderId="152" xfId="0" applyFont="1" applyFill="1" applyBorder="1" applyAlignment="1">
      <alignment horizontal="center" vertical="center"/>
    </xf>
    <xf numFmtId="0" fontId="33" fillId="48" borderId="50" xfId="0" applyFont="1" applyFill="1" applyBorder="1" applyAlignment="1">
      <alignment horizontal="center" vertical="center"/>
    </xf>
    <xf numFmtId="0" fontId="33" fillId="48" borderId="45" xfId="0" applyFont="1" applyFill="1" applyBorder="1" applyAlignment="1">
      <alignment horizontal="right" vertical="center"/>
    </xf>
    <xf numFmtId="0" fontId="33" fillId="48" borderId="17" xfId="0" applyFont="1" applyFill="1" applyBorder="1" applyAlignment="1">
      <alignment horizontal="right" vertical="center"/>
    </xf>
    <xf numFmtId="0" fontId="33" fillId="46" borderId="45" xfId="0" applyFont="1" applyFill="1" applyBorder="1" applyAlignment="1">
      <alignment horizontal="right" vertical="center"/>
    </xf>
    <xf numFmtId="0" fontId="33" fillId="46" borderId="17" xfId="0" applyFont="1" applyFill="1" applyBorder="1" applyAlignment="1">
      <alignment horizontal="right" vertical="center"/>
    </xf>
    <xf numFmtId="0" fontId="32" fillId="47" borderId="20" xfId="0" applyFont="1" applyFill="1" applyBorder="1" applyAlignment="1">
      <alignment horizontal="center" vertical="center"/>
    </xf>
    <xf numFmtId="0" fontId="32" fillId="47" borderId="22" xfId="0" applyFont="1" applyFill="1" applyBorder="1" applyAlignment="1">
      <alignment horizontal="center" vertical="center"/>
    </xf>
    <xf numFmtId="0" fontId="32" fillId="47" borderId="43" xfId="0" applyFont="1" applyFill="1" applyBorder="1" applyAlignment="1">
      <alignment horizontal="center" vertical="center"/>
    </xf>
    <xf numFmtId="0" fontId="32" fillId="48" borderId="22" xfId="0" applyFont="1" applyFill="1" applyBorder="1" applyAlignment="1">
      <alignment horizontal="center" vertical="center"/>
    </xf>
    <xf numFmtId="0" fontId="32" fillId="48" borderId="43" xfId="0" applyFont="1" applyFill="1" applyBorder="1" applyAlignment="1">
      <alignment horizontal="center" vertical="center"/>
    </xf>
    <xf numFmtId="0" fontId="32" fillId="46" borderId="20" xfId="0" applyFont="1" applyFill="1" applyBorder="1" applyAlignment="1">
      <alignment horizontal="center" vertical="center"/>
    </xf>
    <xf numFmtId="0" fontId="32" fillId="46" borderId="22" xfId="0" applyFont="1" applyFill="1" applyBorder="1" applyAlignment="1">
      <alignment horizontal="center" vertical="center"/>
    </xf>
    <xf numFmtId="0" fontId="32" fillId="46" borderId="43" xfId="0" applyFont="1" applyFill="1" applyBorder="1" applyAlignment="1">
      <alignment horizontal="center" vertical="center"/>
    </xf>
    <xf numFmtId="0" fontId="33" fillId="47" borderId="45" xfId="0" applyFont="1" applyFill="1" applyBorder="1" applyAlignment="1">
      <alignment horizontal="right" vertical="center"/>
    </xf>
    <xf numFmtId="0" fontId="33" fillId="47" borderId="17" xfId="0" applyFont="1" applyFill="1" applyBorder="1" applyAlignment="1">
      <alignment horizontal="right" vertical="center"/>
    </xf>
    <xf numFmtId="0" fontId="3" fillId="35" borderId="58" xfId="0" applyFont="1" applyFill="1" applyBorder="1" applyAlignment="1">
      <alignment horizontal="center" vertical="center"/>
    </xf>
    <xf numFmtId="0" fontId="3" fillId="35" borderId="37" xfId="0" applyFont="1" applyFill="1" applyBorder="1" applyAlignment="1">
      <alignment horizontal="center" vertical="center"/>
    </xf>
    <xf numFmtId="0" fontId="3" fillId="35" borderId="38" xfId="0" applyFont="1" applyFill="1" applyBorder="1" applyAlignment="1">
      <alignment horizontal="center" vertical="center"/>
    </xf>
    <xf numFmtId="0" fontId="3" fillId="0" borderId="0" xfId="0" applyFont="1" applyBorder="1" applyAlignment="1">
      <alignment horizontal="center"/>
    </xf>
    <xf numFmtId="0" fontId="32" fillId="48" borderId="20" xfId="0" applyFont="1" applyFill="1" applyBorder="1" applyAlignment="1">
      <alignment horizontal="center" vertical="center"/>
    </xf>
    <xf numFmtId="0" fontId="2" fillId="35" borderId="20" xfId="0" applyFont="1" applyFill="1" applyBorder="1" applyAlignment="1">
      <alignment horizontal="left" vertical="center"/>
    </xf>
    <xf numFmtId="0" fontId="2" fillId="35" borderId="22" xfId="0" applyFont="1" applyFill="1" applyBorder="1" applyAlignment="1">
      <alignment horizontal="left" vertical="center"/>
    </xf>
    <xf numFmtId="0" fontId="2" fillId="35" borderId="43" xfId="0" applyFont="1" applyFill="1" applyBorder="1" applyAlignment="1">
      <alignment horizontal="left" vertical="center"/>
    </xf>
    <xf numFmtId="0" fontId="16" fillId="44" borderId="0" xfId="0" applyFont="1" applyFill="1" applyAlignment="1">
      <alignment horizontal="left" vertical="center"/>
    </xf>
    <xf numFmtId="0" fontId="17" fillId="0" borderId="0" xfId="64" applyFont="1" applyAlignment="1">
      <alignment horizontal="center"/>
      <protection/>
    </xf>
    <xf numFmtId="0" fontId="16" fillId="44" borderId="0" xfId="64" applyFont="1" applyFill="1" applyAlignment="1">
      <alignment horizontal="left" vertical="center"/>
      <protection/>
    </xf>
    <xf numFmtId="0" fontId="20" fillId="0" borderId="0" xfId="64" applyFont="1" applyAlignment="1">
      <alignment horizontal="center"/>
      <protection/>
    </xf>
    <xf numFmtId="0" fontId="4" fillId="0" borderId="0" xfId="0" applyFont="1" applyAlignment="1">
      <alignment horizontal="center"/>
    </xf>
    <xf numFmtId="0" fontId="0" fillId="0" borderId="0" xfId="0" applyAlignment="1">
      <alignment horizontal="center"/>
    </xf>
    <xf numFmtId="0" fontId="6" fillId="39" borderId="20" xfId="0" applyFont="1" applyFill="1" applyBorder="1" applyAlignment="1">
      <alignment horizontal="center" wrapText="1"/>
    </xf>
    <xf numFmtId="0" fontId="6" fillId="39" borderId="22" xfId="0" applyFont="1" applyFill="1" applyBorder="1" applyAlignment="1">
      <alignment horizontal="center" wrapText="1"/>
    </xf>
    <xf numFmtId="0" fontId="6" fillId="39" borderId="43" xfId="0" applyFont="1" applyFill="1" applyBorder="1" applyAlignment="1">
      <alignment horizontal="center" wrapText="1"/>
    </xf>
    <xf numFmtId="0" fontId="6" fillId="39" borderId="20" xfId="0" applyFont="1" applyFill="1" applyBorder="1" applyAlignment="1">
      <alignment horizontal="center"/>
    </xf>
    <xf numFmtId="0" fontId="6" fillId="39" borderId="22" xfId="0" applyFont="1" applyFill="1" applyBorder="1" applyAlignment="1">
      <alignment horizontal="center"/>
    </xf>
    <xf numFmtId="0" fontId="6" fillId="39" borderId="152" xfId="0" applyFont="1" applyFill="1" applyBorder="1" applyAlignment="1">
      <alignment horizontal="center" wrapText="1"/>
    </xf>
    <xf numFmtId="0" fontId="6" fillId="39" borderId="45" xfId="0" applyFont="1" applyFill="1" applyBorder="1" applyAlignment="1">
      <alignment horizontal="center" wrapText="1"/>
    </xf>
    <xf numFmtId="0" fontId="6" fillId="39" borderId="17" xfId="0" applyFont="1" applyFill="1" applyBorder="1" applyAlignment="1">
      <alignment horizontal="center" wrapText="1"/>
    </xf>
    <xf numFmtId="0" fontId="6" fillId="39" borderId="59" xfId="0" applyFont="1" applyFill="1" applyBorder="1" applyAlignment="1">
      <alignment horizontal="center" wrapText="1"/>
    </xf>
    <xf numFmtId="0" fontId="3" fillId="0" borderId="11" xfId="0" applyFont="1" applyBorder="1" applyAlignment="1">
      <alignment horizontal="left" vertical="center" wrapText="1"/>
    </xf>
    <xf numFmtId="0" fontId="0" fillId="0" borderId="11" xfId="0" applyBorder="1" applyAlignment="1">
      <alignment horizontal="left" vertical="center" wrapText="1"/>
    </xf>
    <xf numFmtId="14" fontId="0" fillId="0" borderId="0" xfId="0" applyNumberFormat="1"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Data Field" xfId="50"/>
    <cellStyle name="Data Name"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Input" xfId="61"/>
    <cellStyle name="Linked Cell" xfId="62"/>
    <cellStyle name="Neutral" xfId="63"/>
    <cellStyle name="Normal 2" xfId="64"/>
    <cellStyle name="Normal 3" xfId="65"/>
    <cellStyle name="Note" xfId="66"/>
    <cellStyle name="Output" xfId="67"/>
    <cellStyle name="Percent" xfId="68"/>
    <cellStyle name="Percent 2" xfId="69"/>
    <cellStyle name="Title" xfId="70"/>
    <cellStyle name="Total" xfId="71"/>
    <cellStyle name="Warning Text" xfId="72"/>
  </cellStyles>
  <dxfs count="4">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Energy Savings as a Percentage of Existing Consumption</a:t>
            </a:r>
          </a:p>
        </c:rich>
      </c:tx>
      <c:layout>
        <c:manualLayout>
          <c:xMode val="factor"/>
          <c:yMode val="factor"/>
          <c:x val="-0.01075"/>
          <c:y val="-0.02575"/>
        </c:manualLayout>
      </c:layout>
      <c:spPr>
        <a:noFill/>
        <a:ln w="3175">
          <a:noFill/>
        </a:ln>
      </c:spPr>
    </c:title>
    <c:plotArea>
      <c:layout>
        <c:manualLayout>
          <c:xMode val="edge"/>
          <c:yMode val="edge"/>
          <c:x val="0.33925"/>
          <c:y val="0.336"/>
          <c:w val="0.34375"/>
          <c:h val="0.545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dLbl>
              <c:idx val="1"/>
              <c:txPr>
                <a:bodyPr vert="horz" rot="0" anchor="ctr"/>
                <a:lstStyle/>
                <a:p>
                  <a:pPr algn="ctr">
                    <a:defRPr lang="en-US" cap="none" sz="1575" b="0" i="0" u="none" baseline="0">
                      <a:solidFill>
                        <a:srgbClr val="000000"/>
                      </a:solidFill>
                      <a:latin typeface="Arial"/>
                      <a:ea typeface="Arial"/>
                      <a:cs typeface="Arial"/>
                    </a:defRPr>
                  </a:pPr>
                </a:p>
              </c:txPr>
              <c:numFmt formatCode="General" sourceLinked="1"/>
              <c:spPr>
                <a:noFill/>
                <a:ln w="3175">
                  <a:noFill/>
                </a:ln>
              </c:spPr>
              <c:dLblPos val="bestFit"/>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0"/>
            <c:showPercent val="0"/>
          </c:dLbls>
          <c:val>
            <c:numRef>
              <c:f>'Financial Summary'!$E$9:$F$9</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Cummulative Savings at Current Energy Prices*</a:t>
            </a:r>
          </a:p>
        </c:rich>
      </c:tx>
      <c:layout>
        <c:manualLayout>
          <c:xMode val="factor"/>
          <c:yMode val="factor"/>
          <c:x val="0.00275"/>
          <c:y val="-0.013"/>
        </c:manualLayout>
      </c:layout>
      <c:spPr>
        <a:noFill/>
        <a:ln w="3175">
          <a:noFill/>
        </a:ln>
      </c:spPr>
    </c:title>
    <c:plotArea>
      <c:layout>
        <c:manualLayout>
          <c:xMode val="edge"/>
          <c:yMode val="edge"/>
          <c:x val="0.0475"/>
          <c:y val="0.13175"/>
          <c:w val="0.92275"/>
          <c:h val="0.86825"/>
        </c:manualLayout>
      </c:layout>
      <c:barChart>
        <c:barDir val="col"/>
        <c:grouping val="clustered"/>
        <c:varyColors val="0"/>
        <c:ser>
          <c:idx val="0"/>
          <c:order val="0"/>
          <c:tx>
            <c:v>Cummulative Savings at Current Energy Prices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'Financial Summary'!$D$12:$D$16</c:f>
            </c:numRef>
          </c:val>
        </c:ser>
        <c:gapWidth val="30"/>
        <c:axId val="35728163"/>
        <c:axId val="53118012"/>
      </c:barChart>
      <c:catAx>
        <c:axId val="3572816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
              <c:y val="-0.01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3118012"/>
        <c:crosses val="autoZero"/>
        <c:auto val="1"/>
        <c:lblOffset val="100"/>
        <c:tickLblSkip val="1"/>
        <c:noMultiLvlLbl val="0"/>
      </c:catAx>
      <c:valAx>
        <c:axId val="5311801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5728163"/>
        <c:crossesAt val="1"/>
        <c:crossBetween val="between"/>
        <c:dispUnits/>
      </c:valAx>
      <c:spPr>
        <a:solidFill>
          <a:srgbClr val="FFFFFF"/>
        </a:solidFill>
        <a:ln w="12700">
          <a:solidFill>
            <a:srgbClr val="00000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http://rpu.org/images/conservesave_banner.gif" TargetMode="External"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142875</xdr:rowOff>
    </xdr:from>
    <xdr:to>
      <xdr:col>13</xdr:col>
      <xdr:colOff>180975</xdr:colOff>
      <xdr:row>73</xdr:row>
      <xdr:rowOff>28575</xdr:rowOff>
    </xdr:to>
    <xdr:sp>
      <xdr:nvSpPr>
        <xdr:cNvPr id="1" name="Text Box 1"/>
        <xdr:cNvSpPr txBox="1">
          <a:spLocks noChangeArrowheads="1"/>
        </xdr:cNvSpPr>
      </xdr:nvSpPr>
      <xdr:spPr>
        <a:xfrm>
          <a:off x="171450" y="142875"/>
          <a:ext cx="7934325" cy="1170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INSTRUCTIONS FOR THE INTERACTIVE COMMERCIAL COOLING REBATE APPLICATION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Customer Information Sheet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sheet asks for general information about the customer and contractor.  Fields that accept data are shaded yellow.  The tab key can be used to move forward from one field to the next.  Holding the shift key will pressing the tab key will move backward from one field to the previous field.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customer’s business name and installation address are pulled from this sheet and displayed on the Financial Summary sheet.  The contractor name, address, and contact information are also pulled from this sheet and displayed on the Financial Summary sheet.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Check-boxes can be selected or deselected using the mouse.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Rebate Information (Rooftops) Sheet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Use the mouse to select “New Construction” or “Retrofit” at the top of the sheet.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Fields that accept data entry are shaded yellow.  Fields that are calculated based on other values entered are not shaded.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Begin by entering the base efficiencies in columns A, B and 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column D, select the correct unit code from Table 1.  Once the code is in the cell, the Minimum Efficiency (Column I), Base Rebate $/Ton (Column N) and Bonus Rebate**$/Ton  (Column Q) columns will automatically be entered into the appropriate cells.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Eligible Efficiency Bonus column will automatically be filled out once the Actual SEER or EER (Column J) is entered.  The Base Rebate (Column O), Bonus Rebate (Column R) and the Total Rebate (Column S) will not appear until the Qty. of the new system has been entered into Column K.  If the equipment cost is less than the rebate, the Total Rebate Amount will default to the cost of the equipment.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Rebate Information (Chillers-W) Sheet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Use the mouse to select “New Construction” or “Retrofit” at the top of the sheet.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Fields that accept data entry are shaded yellow.  Fields that are calculated based on other values entered are not shaded.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Begin by entering the base efficiencies in columns B, C and 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column E, select the correct Unit Code from Table 1.  Once the code is in the cell, the Existing System, Unit Code (Column A), Full Load Eff. (Column I), IPLV Eff. (Column K), Base Rebate $/Ton (Column P), Eligible Efficiency Bonus (Column R) and Bonus Rebate**$/Ton (Column S) columns will automatically be entered into the appropriate cells.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Once Rated Full Load Eff. (Columns J) and Rated IPLV Eff. (Column L) columns have been filled out, the </a:t>
          </a:r>
          <a:r>
            <a:rPr lang="en-US" cap="none" sz="1100" b="0" i="0" u="none" baseline="0">
              <a:solidFill>
                <a:srgbClr val="800080"/>
              </a:solidFill>
              <a:latin typeface="Calibri"/>
              <a:ea typeface="Calibri"/>
              <a:cs typeface="Calibri"/>
            </a:rPr>
            <a:t>Eligible Efficiency Bonus (Column </a:t>
          </a:r>
          <a:r>
            <a:rPr lang="en-US" cap="none" sz="1100" b="0" i="0" u="none" baseline="0">
              <a:solidFill>
                <a:srgbClr val="000000"/>
              </a:solidFill>
              <a:latin typeface="Calibri"/>
              <a:ea typeface="Calibri"/>
              <a:cs typeface="Calibri"/>
            </a:rPr>
            <a:t>R) will automatically be entered.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Lastly, once the Qty. (Column M) of the New System has been entered, the Base Rebate $/Ton (Column Q), Bonus Rebate (Column T) and Total Rebate (Column U), will automatically be entered. If the equipment cost is less than the rebate, the Total Rebate Amount will default to the cost of the equipment.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Rebate Information (Chillers-A) Sheet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Use the mouse to select “New Construction” or “Retrofit” at the top of the sheet.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Fields that accept data entry are shaded yellow.  Fields that are calculated based on other values entered are not shaded.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Begin by entering the base efficiencies in columns B, C and 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column E, select the correct Unit Code from Table 1.  Once the code is in the cell, the Existing System, Unit Code (Column A), Full Load EER (Column I), IPLV EER (Column K), Base Rebate $/Ton (Column P), Eligible Efficiency Bonus (Column R) and Bonus Rebate**$/Ton (Column S) columns will automatically be entered into the appropriate cells.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Once Rated Full Load EER (Columns J) and Rated IPLV EER (Column L) columns have been filled out, the </a:t>
          </a:r>
          <a:r>
            <a:rPr lang="en-US" cap="none" sz="1100" b="0" i="0" u="none" baseline="0">
              <a:solidFill>
                <a:srgbClr val="800080"/>
              </a:solidFill>
              <a:latin typeface="Calibri"/>
              <a:ea typeface="Calibri"/>
              <a:cs typeface="Calibri"/>
            </a:rPr>
            <a:t>Eligible Efficiency Bonus (Column </a:t>
          </a:r>
          <a:r>
            <a:rPr lang="en-US" cap="none" sz="1100" b="0" i="0" u="none" baseline="0">
              <a:solidFill>
                <a:srgbClr val="000000"/>
              </a:solidFill>
              <a:latin typeface="Calibri"/>
              <a:ea typeface="Calibri"/>
              <a:cs typeface="Calibri"/>
            </a:rPr>
            <a:t>R) will automatically be entered.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Lastly, once the Qty. (Column M) of the New System has been entered, the Base Rebate $/Ton (Column Q), Bonus Rebate (Column T) and Total Rebate (Column U), will automatically be entered. If the equipment cost is less than the rebate, the Total Rebate Amount will default to the cost of the equipment.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Cooling RTU Savings Sheet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user may change the Demand and Energy Rate at the top of the sheet.  All other values on this sheet are calculated.  For a rate that does not have a demand component, set “Demand” to zero.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Water Cooled Chillers Savings Sheet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user may change the Demand and Energy Rate at the top of the sheet.  All other values on this sheet are calculated.  For a rate that does not have a demand component, set “Demand” to zero.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Air Cooled Chillers Savings Sheet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user may change the Demand and Energy Rate at the top of the sheet.  All other values on this sheet are calculated.  For a rate that does not have a demand component, set “Demand” to zero.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Financial Summary Sheet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values on this sheet are calculated.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Terms &amp; Conditions Sheet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Standard terms and conditions for the rebate program are listed.  No entry by the user.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11</xdr:col>
      <xdr:colOff>857250</xdr:colOff>
      <xdr:row>6</xdr:row>
      <xdr:rowOff>219075</xdr:rowOff>
    </xdr:to>
    <xdr:sp>
      <xdr:nvSpPr>
        <xdr:cNvPr id="1" name="Text Box 3"/>
        <xdr:cNvSpPr txBox="1">
          <a:spLocks noChangeArrowheads="1"/>
        </xdr:cNvSpPr>
      </xdr:nvSpPr>
      <xdr:spPr>
        <a:xfrm>
          <a:off x="0" y="790575"/>
          <a:ext cx="7439025" cy="409575"/>
        </a:xfrm>
        <a:prstGeom prst="rect">
          <a:avLst/>
        </a:prstGeom>
        <a:solidFill>
          <a:srgbClr val="C0C0C0"/>
        </a:solidFill>
        <a:ln w="9525" cmpd="sng">
          <a:solidFill>
            <a:srgbClr val="000000"/>
          </a:solidFill>
          <a:headEnd type="none"/>
          <a:tailEnd type="none"/>
        </a:ln>
      </xdr:spPr>
      <xdr:txBody>
        <a:bodyPr vertOverflow="clip" wrap="square" lIns="45720" tIns="45720" rIns="45720" bIns="45720" anchor="ctr"/>
        <a:p>
          <a:pPr algn="ctr">
            <a:defRPr/>
          </a:pPr>
          <a:r>
            <a:rPr lang="en-US" cap="none" sz="1400" b="0" i="0" u="none" baseline="0">
              <a:solidFill>
                <a:srgbClr val="000000"/>
              </a:solidFill>
              <a:latin typeface="Arial Black"/>
              <a:ea typeface="Arial Black"/>
              <a:cs typeface="Arial Black"/>
            </a:rPr>
            <a:t>COMMERCIAL COOLING</a:t>
          </a:r>
          <a:r>
            <a:rPr lang="en-US" cap="none" sz="1400" b="0" i="0" u="none" baseline="0">
              <a:solidFill>
                <a:srgbClr val="000000"/>
              </a:solidFill>
              <a:latin typeface="Arial Black"/>
              <a:ea typeface="Arial Black"/>
              <a:cs typeface="Arial Black"/>
            </a:rPr>
            <a:t> </a:t>
          </a:r>
          <a:r>
            <a:rPr lang="en-US" cap="none" sz="1400" b="0" i="0" u="none" baseline="0">
              <a:solidFill>
                <a:srgbClr val="000000"/>
              </a:solidFill>
              <a:latin typeface="Arial Black"/>
              <a:ea typeface="Arial Black"/>
              <a:cs typeface="Arial Black"/>
            </a:rPr>
            <a:t>REBATE APPLICATION</a:t>
          </a:r>
        </a:p>
      </xdr:txBody>
    </xdr:sp>
    <xdr:clientData/>
  </xdr:twoCellAnchor>
  <xdr:twoCellAnchor>
    <xdr:from>
      <xdr:col>0</xdr:col>
      <xdr:colOff>0</xdr:colOff>
      <xdr:row>6</xdr:row>
      <xdr:rowOff>285750</xdr:rowOff>
    </xdr:from>
    <xdr:to>
      <xdr:col>11</xdr:col>
      <xdr:colOff>857250</xdr:colOff>
      <xdr:row>8</xdr:row>
      <xdr:rowOff>47625</xdr:rowOff>
    </xdr:to>
    <xdr:sp>
      <xdr:nvSpPr>
        <xdr:cNvPr id="2" name="Rectangle 4"/>
        <xdr:cNvSpPr>
          <a:spLocks/>
        </xdr:cNvSpPr>
      </xdr:nvSpPr>
      <xdr:spPr>
        <a:xfrm>
          <a:off x="0" y="1266825"/>
          <a:ext cx="7439025" cy="285750"/>
        </a:xfrm>
        <a:prstGeom prst="rect">
          <a:avLst/>
        </a:prstGeom>
        <a:solidFill>
          <a:srgbClr val="C0C0C0"/>
        </a:solidFill>
        <a:ln w="9525" cmpd="sng">
          <a:solidFill>
            <a:srgbClr val="000000"/>
          </a:solidFill>
          <a:headEnd type="none"/>
          <a:tailEnd type="none"/>
        </a:ln>
      </xdr:spPr>
      <xdr:txBody>
        <a:bodyPr vertOverflow="clip" wrap="square" lIns="36576" tIns="41148" rIns="0" bIns="0"/>
        <a:p>
          <a:pPr algn="l">
            <a:defRPr/>
          </a:pPr>
          <a:r>
            <a:rPr lang="en-US" cap="none" sz="1000" b="0" i="0" u="none" baseline="0">
              <a:solidFill>
                <a:srgbClr val="000000"/>
              </a:solidFill>
            </a:rPr>
            <a:t>1.  CUSTOMER INFORMATION (please print)</a:t>
          </a:r>
        </a:p>
      </xdr:txBody>
    </xdr:sp>
    <xdr:clientData/>
  </xdr:twoCellAnchor>
  <xdr:twoCellAnchor>
    <xdr:from>
      <xdr:col>0</xdr:col>
      <xdr:colOff>0</xdr:colOff>
      <xdr:row>28</xdr:row>
      <xdr:rowOff>95250</xdr:rowOff>
    </xdr:from>
    <xdr:to>
      <xdr:col>11</xdr:col>
      <xdr:colOff>809625</xdr:colOff>
      <xdr:row>29</xdr:row>
      <xdr:rowOff>133350</xdr:rowOff>
    </xdr:to>
    <xdr:sp>
      <xdr:nvSpPr>
        <xdr:cNvPr id="3" name="Rectangle 77"/>
        <xdr:cNvSpPr>
          <a:spLocks/>
        </xdr:cNvSpPr>
      </xdr:nvSpPr>
      <xdr:spPr>
        <a:xfrm>
          <a:off x="0" y="4695825"/>
          <a:ext cx="7391400" cy="247650"/>
        </a:xfrm>
        <a:prstGeom prst="rect">
          <a:avLst/>
        </a:prstGeom>
        <a:solidFill>
          <a:srgbClr val="C0C0C0"/>
        </a:solidFill>
        <a:ln w="9525" cmpd="sng">
          <a:solidFill>
            <a:srgbClr val="000000"/>
          </a:solidFill>
          <a:headEnd type="none"/>
          <a:tailEnd type="none"/>
        </a:ln>
      </xdr:spPr>
      <xdr:txBody>
        <a:bodyPr vertOverflow="clip" wrap="square" lIns="36576" tIns="41148" rIns="0" bIns="0"/>
        <a:p>
          <a:pPr algn="l">
            <a:defRPr/>
          </a:pPr>
          <a:r>
            <a:rPr lang="en-US" cap="none" sz="1000" b="0" i="0" u="none" baseline="0">
              <a:solidFill>
                <a:srgbClr val="000000"/>
              </a:solidFill>
            </a:rPr>
            <a:t>2.  CONTACT INFORMATION (please print) / CUSTOMER SIGNATURE</a:t>
          </a:r>
        </a:p>
      </xdr:txBody>
    </xdr:sp>
    <xdr:clientData/>
  </xdr:twoCellAnchor>
  <xdr:twoCellAnchor>
    <xdr:from>
      <xdr:col>2</xdr:col>
      <xdr:colOff>180975</xdr:colOff>
      <xdr:row>30</xdr:row>
      <xdr:rowOff>9525</xdr:rowOff>
    </xdr:from>
    <xdr:to>
      <xdr:col>11</xdr:col>
      <xdr:colOff>600075</xdr:colOff>
      <xdr:row>33</xdr:row>
      <xdr:rowOff>28575</xdr:rowOff>
    </xdr:to>
    <xdr:sp>
      <xdr:nvSpPr>
        <xdr:cNvPr id="4" name="Text Box 81"/>
        <xdr:cNvSpPr txBox="1">
          <a:spLocks noChangeArrowheads="1"/>
        </xdr:cNvSpPr>
      </xdr:nvSpPr>
      <xdr:spPr>
        <a:xfrm>
          <a:off x="962025" y="4991100"/>
          <a:ext cx="6219825" cy="342900"/>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ALL INVOICES OR RECEIPTS AND ALL SPECIFICATION SHEETS MUST BE INCLUDED WITH YOUR FULLY-COMPLETED AND SIGNED APPLICATION OR APPLICATION WILL BE RETURNED</a:t>
          </a:r>
          <a:r>
            <a:rPr lang="en-US" cap="none" sz="1000" b="1" i="0" u="none" baseline="0">
              <a:solidFill>
                <a:srgbClr val="000000"/>
              </a:solidFill>
              <a:latin typeface="Arial"/>
              <a:ea typeface="Arial"/>
              <a:cs typeface="Arial"/>
            </a:rPr>
            <a:t>.</a:t>
          </a:r>
        </a:p>
      </xdr:txBody>
    </xdr:sp>
    <xdr:clientData/>
  </xdr:twoCellAnchor>
  <xdr:twoCellAnchor>
    <xdr:from>
      <xdr:col>1</xdr:col>
      <xdr:colOff>19050</xdr:colOff>
      <xdr:row>29</xdr:row>
      <xdr:rowOff>152400</xdr:rowOff>
    </xdr:from>
    <xdr:to>
      <xdr:col>3</xdr:col>
      <xdr:colOff>66675</xdr:colOff>
      <xdr:row>31</xdr:row>
      <xdr:rowOff>0</xdr:rowOff>
    </xdr:to>
    <xdr:sp>
      <xdr:nvSpPr>
        <xdr:cNvPr id="5" name="Text Box 82"/>
        <xdr:cNvSpPr txBox="1">
          <a:spLocks noChangeArrowheads="1"/>
        </xdr:cNvSpPr>
      </xdr:nvSpPr>
      <xdr:spPr>
        <a:xfrm>
          <a:off x="142875" y="4943475"/>
          <a:ext cx="131445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ATTENTION:</a:t>
          </a:r>
        </a:p>
      </xdr:txBody>
    </xdr:sp>
    <xdr:clientData/>
  </xdr:twoCellAnchor>
  <xdr:twoCellAnchor>
    <xdr:from>
      <xdr:col>1</xdr:col>
      <xdr:colOff>9525</xdr:colOff>
      <xdr:row>38</xdr:row>
      <xdr:rowOff>47625</xdr:rowOff>
    </xdr:from>
    <xdr:to>
      <xdr:col>11</xdr:col>
      <xdr:colOff>561975</xdr:colOff>
      <xdr:row>43</xdr:row>
      <xdr:rowOff>19050</xdr:rowOff>
    </xdr:to>
    <xdr:sp>
      <xdr:nvSpPr>
        <xdr:cNvPr id="6" name="Text Box 89"/>
        <xdr:cNvSpPr txBox="1">
          <a:spLocks noChangeArrowheads="1"/>
        </xdr:cNvSpPr>
      </xdr:nvSpPr>
      <xdr:spPr>
        <a:xfrm>
          <a:off x="133350" y="6067425"/>
          <a:ext cx="7010400" cy="647700"/>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I certify that all the information in the application (including any associated worksheets) is correct to the best of my knowledge.  I have read and agree to the Terms and Conditions on the back of this application booklet.  I understand that if any equipment in conjunction with this application is ordered, purchased, or installed before approval from The Utility is received, the proposed may not qualify for a rebate.</a:t>
          </a:r>
        </a:p>
      </xdr:txBody>
    </xdr:sp>
    <xdr:clientData/>
  </xdr:twoCellAnchor>
  <xdr:twoCellAnchor>
    <xdr:from>
      <xdr:col>0</xdr:col>
      <xdr:colOff>9525</xdr:colOff>
      <xdr:row>46</xdr:row>
      <xdr:rowOff>104775</xdr:rowOff>
    </xdr:from>
    <xdr:to>
      <xdr:col>11</xdr:col>
      <xdr:colOff>828675</xdr:colOff>
      <xdr:row>48</xdr:row>
      <xdr:rowOff>0</xdr:rowOff>
    </xdr:to>
    <xdr:sp>
      <xdr:nvSpPr>
        <xdr:cNvPr id="7" name="Rectangle 93"/>
        <xdr:cNvSpPr>
          <a:spLocks/>
        </xdr:cNvSpPr>
      </xdr:nvSpPr>
      <xdr:spPr>
        <a:xfrm>
          <a:off x="9525" y="7324725"/>
          <a:ext cx="7400925" cy="247650"/>
        </a:xfrm>
        <a:prstGeom prst="rect">
          <a:avLst/>
        </a:prstGeom>
        <a:solidFill>
          <a:srgbClr val="C0C0C0"/>
        </a:solidFill>
        <a:ln w="9525" cmpd="sng">
          <a:solidFill>
            <a:srgbClr val="000000"/>
          </a:solidFill>
          <a:headEnd type="none"/>
          <a:tailEnd type="none"/>
        </a:ln>
      </xdr:spPr>
      <xdr:txBody>
        <a:bodyPr vertOverflow="clip" wrap="square" lIns="36576" tIns="41148" rIns="0" bIns="0"/>
        <a:p>
          <a:pPr algn="l">
            <a:defRPr/>
          </a:pPr>
          <a:r>
            <a:rPr lang="en-US" cap="none" sz="1000" b="0" i="0" u="none" baseline="0">
              <a:solidFill>
                <a:srgbClr val="000000"/>
              </a:solidFill>
            </a:rPr>
            <a:t>3.  CONTRACTOR / VENDOR INFORMATION (please print)</a:t>
          </a:r>
        </a:p>
      </xdr:txBody>
    </xdr:sp>
    <xdr:clientData/>
  </xdr:twoCellAnchor>
  <xdr:twoCellAnchor>
    <xdr:from>
      <xdr:col>0</xdr:col>
      <xdr:colOff>0</xdr:colOff>
      <xdr:row>0</xdr:row>
      <xdr:rowOff>9525</xdr:rowOff>
    </xdr:from>
    <xdr:to>
      <xdr:col>11</xdr:col>
      <xdr:colOff>857250</xdr:colOff>
      <xdr:row>4</xdr:row>
      <xdr:rowOff>9525</xdr:rowOff>
    </xdr:to>
    <xdr:pic>
      <xdr:nvPicPr>
        <xdr:cNvPr id="8" name="Picture 110" descr="http://rpu.org/images/conservesave_banner.gif"/>
        <xdr:cNvPicPr preferRelativeResize="1">
          <a:picLocks noChangeAspect="1"/>
        </xdr:cNvPicPr>
      </xdr:nvPicPr>
      <xdr:blipFill>
        <a:blip r:link="rId1"/>
        <a:stretch>
          <a:fillRect/>
        </a:stretch>
      </xdr:blipFill>
      <xdr:spPr>
        <a:xfrm>
          <a:off x="0" y="9525"/>
          <a:ext cx="7439025" cy="762000"/>
        </a:xfrm>
        <a:prstGeom prst="rect">
          <a:avLst/>
        </a:prstGeom>
        <a:noFill/>
        <a:ln w="9525" cmpd="sng">
          <a:noFill/>
        </a:ln>
      </xdr:spPr>
    </xdr:pic>
    <xdr:clientData/>
  </xdr:twoCellAnchor>
  <xdr:twoCellAnchor>
    <xdr:from>
      <xdr:col>1</xdr:col>
      <xdr:colOff>276225</xdr:colOff>
      <xdr:row>45</xdr:row>
      <xdr:rowOff>28575</xdr:rowOff>
    </xdr:from>
    <xdr:to>
      <xdr:col>11</xdr:col>
      <xdr:colOff>590550</xdr:colOff>
      <xdr:row>46</xdr:row>
      <xdr:rowOff>38100</xdr:rowOff>
    </xdr:to>
    <xdr:sp>
      <xdr:nvSpPr>
        <xdr:cNvPr id="9" name="TextBox 26"/>
        <xdr:cNvSpPr txBox="1">
          <a:spLocks noChangeArrowheads="1"/>
        </xdr:cNvSpPr>
      </xdr:nvSpPr>
      <xdr:spPr>
        <a:xfrm>
          <a:off x="400050" y="7058025"/>
          <a:ext cx="677227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Arial"/>
              <a:ea typeface="Arial"/>
              <a:cs typeface="Arial"/>
            </a:rPr>
            <a:t>Check here if you DO NOT give us permission to use your business name in advertising our Conserve &amp; Save program (e.g. utility  website, newspaper ads).</a:t>
          </a:r>
        </a:p>
      </xdr:txBody>
    </xdr:sp>
    <xdr:clientData/>
  </xdr:twoCellAnchor>
  <xdr:twoCellAnchor editAs="oneCell">
    <xdr:from>
      <xdr:col>0</xdr:col>
      <xdr:colOff>66675</xdr:colOff>
      <xdr:row>60</xdr:row>
      <xdr:rowOff>9525</xdr:rowOff>
    </xdr:from>
    <xdr:to>
      <xdr:col>6</xdr:col>
      <xdr:colOff>28575</xdr:colOff>
      <xdr:row>68</xdr:row>
      <xdr:rowOff>104775</xdr:rowOff>
    </xdr:to>
    <xdr:pic>
      <xdr:nvPicPr>
        <xdr:cNvPr id="10" name="Picture 29" descr="Teaming-Up.color.jpg"/>
        <xdr:cNvPicPr preferRelativeResize="1">
          <a:picLocks noChangeAspect="1"/>
        </xdr:cNvPicPr>
      </xdr:nvPicPr>
      <xdr:blipFill>
        <a:blip r:embed="rId2"/>
        <a:stretch>
          <a:fillRect/>
        </a:stretch>
      </xdr:blipFill>
      <xdr:spPr>
        <a:xfrm>
          <a:off x="66675" y="9144000"/>
          <a:ext cx="3390900" cy="1390650"/>
        </a:xfrm>
        <a:prstGeom prst="rect">
          <a:avLst/>
        </a:prstGeom>
        <a:noFill/>
        <a:ln w="9525" cmpd="sng">
          <a:noFill/>
        </a:ln>
      </xdr:spPr>
    </xdr:pic>
    <xdr:clientData/>
  </xdr:twoCellAnchor>
  <xdr:twoCellAnchor>
    <xdr:from>
      <xdr:col>6</xdr:col>
      <xdr:colOff>133350</xdr:colOff>
      <xdr:row>60</xdr:row>
      <xdr:rowOff>19050</xdr:rowOff>
    </xdr:from>
    <xdr:to>
      <xdr:col>11</xdr:col>
      <xdr:colOff>742950</xdr:colOff>
      <xdr:row>68</xdr:row>
      <xdr:rowOff>104775</xdr:rowOff>
    </xdr:to>
    <xdr:grpSp>
      <xdr:nvGrpSpPr>
        <xdr:cNvPr id="11" name="Group 37"/>
        <xdr:cNvGrpSpPr>
          <a:grpSpLocks/>
        </xdr:cNvGrpSpPr>
      </xdr:nvGrpSpPr>
      <xdr:grpSpPr>
        <a:xfrm>
          <a:off x="3562350" y="9153525"/>
          <a:ext cx="3762375" cy="1381125"/>
          <a:chOff x="3238500" y="8410574"/>
          <a:chExt cx="3638550" cy="1514475"/>
        </a:xfrm>
        <a:solidFill>
          <a:srgbClr val="FFFFFF"/>
        </a:solidFill>
      </xdr:grpSpPr>
      <xdr:sp>
        <xdr:nvSpPr>
          <xdr:cNvPr id="12" name="Rectangle 108"/>
          <xdr:cNvSpPr>
            <a:spLocks/>
          </xdr:cNvSpPr>
        </xdr:nvSpPr>
        <xdr:spPr>
          <a:xfrm>
            <a:off x="3242139" y="8410574"/>
            <a:ext cx="3634911" cy="1514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3" name="Group 36"/>
          <xdr:cNvGrpSpPr>
            <a:grpSpLocks/>
          </xdr:cNvGrpSpPr>
        </xdr:nvGrpSpPr>
        <xdr:grpSpPr>
          <a:xfrm>
            <a:off x="3270337" y="8499171"/>
            <a:ext cx="3561231" cy="1346368"/>
            <a:chOff x="3409950" y="8607985"/>
            <a:chExt cx="3571875" cy="1357487"/>
          </a:xfrm>
          <a:solidFill>
            <a:srgbClr val="FFFFFF"/>
          </a:solidFill>
        </xdr:grpSpPr>
        <xdr:sp>
          <xdr:nvSpPr>
            <xdr:cNvPr id="14" name="Rectangle 94"/>
            <xdr:cNvSpPr>
              <a:spLocks/>
            </xdr:cNvSpPr>
          </xdr:nvSpPr>
          <xdr:spPr>
            <a:xfrm>
              <a:off x="3456384" y="8607985"/>
              <a:ext cx="1375172" cy="258941"/>
            </a:xfrm>
            <a:prstGeom prst="rect">
              <a:avLst/>
            </a:prstGeom>
            <a:noFill/>
            <a:ln w="9525" cmpd="sng">
              <a:noFill/>
            </a:ln>
          </xdr:spPr>
          <xdr:txBody>
            <a:bodyPr vertOverflow="clip" wrap="square" lIns="27432" tIns="22860" rIns="0" bIns="0"/>
            <a:p>
              <a:pPr algn="l">
                <a:defRPr/>
              </a:pPr>
              <a:r>
                <a:rPr lang="en-US" cap="none" sz="1100" b="1" i="0" u="none" baseline="0">
                  <a:solidFill>
                    <a:srgbClr val="000000"/>
                  </a:solidFill>
                  <a:latin typeface="Arial"/>
                  <a:ea typeface="Arial"/>
                  <a:cs typeface="Arial"/>
                </a:rPr>
                <a:t>OFFICE USE ONLY</a:t>
              </a:r>
            </a:p>
          </xdr:txBody>
        </xdr:sp>
        <xdr:sp>
          <xdr:nvSpPr>
            <xdr:cNvPr id="15" name="Text Box 95"/>
            <xdr:cNvSpPr txBox="1">
              <a:spLocks noChangeArrowheads="1"/>
            </xdr:cNvSpPr>
          </xdr:nvSpPr>
          <xdr:spPr>
            <a:xfrm>
              <a:off x="4886920" y="8625972"/>
              <a:ext cx="1568946" cy="160862"/>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Date Received </a:t>
              </a:r>
              <a:r>
                <a:rPr lang="en-US" cap="none" sz="900" b="0" i="0" u="none" baseline="0">
                  <a:solidFill>
                    <a:srgbClr val="000000"/>
                  </a:solidFill>
                  <a:latin typeface="Arial"/>
                  <a:ea typeface="Arial"/>
                  <a:cs typeface="Arial"/>
                </a:rPr>
                <a:t>________</a:t>
              </a:r>
            </a:p>
          </xdr:txBody>
        </xdr:sp>
        <xdr:sp>
          <xdr:nvSpPr>
            <xdr:cNvPr id="16" name="Text Box 96"/>
            <xdr:cNvSpPr txBox="1">
              <a:spLocks noChangeArrowheads="1"/>
            </xdr:cNvSpPr>
          </xdr:nvSpPr>
          <xdr:spPr>
            <a:xfrm>
              <a:off x="3446562" y="8911723"/>
              <a:ext cx="1245691" cy="250117"/>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Pre-Inspected?
</a:t>
              </a:r>
              <a:r>
                <a:rPr lang="en-US" cap="none" sz="800" b="1" i="0" u="none" baseline="0">
                  <a:solidFill>
                    <a:srgbClr val="000000"/>
                  </a:solidFill>
                  <a:latin typeface="Arial"/>
                  <a:ea typeface="Arial"/>
                  <a:cs typeface="Arial"/>
                </a:rPr>
                <a:t>
</a:t>
              </a:r>
            </a:p>
          </xdr:txBody>
        </xdr:sp>
        <xdr:sp>
          <xdr:nvSpPr>
            <xdr:cNvPr id="17" name="Text Box 97"/>
            <xdr:cNvSpPr txBox="1">
              <a:spLocks noChangeArrowheads="1"/>
            </xdr:cNvSpPr>
          </xdr:nvSpPr>
          <xdr:spPr>
            <a:xfrm>
              <a:off x="3446562" y="9224284"/>
              <a:ext cx="1079599" cy="232130"/>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Post-Inspected?
</a:t>
              </a:r>
            </a:p>
          </xdr:txBody>
        </xdr:sp>
        <xdr:sp>
          <xdr:nvSpPr>
            <xdr:cNvPr id="18" name="Rectangle 98"/>
            <xdr:cNvSpPr>
              <a:spLocks/>
            </xdr:cNvSpPr>
          </xdr:nvSpPr>
          <xdr:spPr>
            <a:xfrm>
              <a:off x="4434185" y="8929370"/>
              <a:ext cx="110728" cy="11606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Rectangle 99"/>
            <xdr:cNvSpPr>
              <a:spLocks/>
            </xdr:cNvSpPr>
          </xdr:nvSpPr>
          <xdr:spPr>
            <a:xfrm>
              <a:off x="4434185" y="9251094"/>
              <a:ext cx="110728" cy="11606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Rectangle 100"/>
            <xdr:cNvSpPr>
              <a:spLocks/>
            </xdr:cNvSpPr>
          </xdr:nvSpPr>
          <xdr:spPr>
            <a:xfrm>
              <a:off x="4914602" y="8929370"/>
              <a:ext cx="110728" cy="11606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Rectangle 101"/>
            <xdr:cNvSpPr>
              <a:spLocks/>
            </xdr:cNvSpPr>
          </xdr:nvSpPr>
          <xdr:spPr>
            <a:xfrm>
              <a:off x="4914602" y="9259918"/>
              <a:ext cx="110728" cy="11606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Text Box 102"/>
            <xdr:cNvSpPr txBox="1">
              <a:spLocks noChangeArrowheads="1"/>
            </xdr:cNvSpPr>
          </xdr:nvSpPr>
          <xdr:spPr>
            <a:xfrm>
              <a:off x="4600277" y="8920546"/>
              <a:ext cx="313432" cy="205320"/>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YES</a:t>
              </a:r>
            </a:p>
          </xdr:txBody>
        </xdr:sp>
        <xdr:sp>
          <xdr:nvSpPr>
            <xdr:cNvPr id="23" name="Text Box 103"/>
            <xdr:cNvSpPr txBox="1">
              <a:spLocks noChangeArrowheads="1"/>
            </xdr:cNvSpPr>
          </xdr:nvSpPr>
          <xdr:spPr>
            <a:xfrm>
              <a:off x="4600277" y="9241931"/>
              <a:ext cx="304502" cy="241293"/>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YES</a:t>
              </a:r>
            </a:p>
          </xdr:txBody>
        </xdr:sp>
        <xdr:sp>
          <xdr:nvSpPr>
            <xdr:cNvPr id="24" name="Text Box 104"/>
            <xdr:cNvSpPr txBox="1">
              <a:spLocks noChangeArrowheads="1"/>
            </xdr:cNvSpPr>
          </xdr:nvSpPr>
          <xdr:spPr>
            <a:xfrm>
              <a:off x="5108377" y="8920546"/>
              <a:ext cx="341114" cy="241293"/>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a:t>
              </a:r>
            </a:p>
          </xdr:txBody>
        </xdr:sp>
        <xdr:sp>
          <xdr:nvSpPr>
            <xdr:cNvPr id="25" name="Text Box 105"/>
            <xdr:cNvSpPr txBox="1">
              <a:spLocks noChangeArrowheads="1"/>
            </xdr:cNvSpPr>
          </xdr:nvSpPr>
          <xdr:spPr>
            <a:xfrm>
              <a:off x="5108377" y="9241931"/>
              <a:ext cx="276820" cy="241293"/>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a:t>
              </a:r>
            </a:p>
          </xdr:txBody>
        </xdr:sp>
        <xdr:sp>
          <xdr:nvSpPr>
            <xdr:cNvPr id="26" name="Text Box 106"/>
            <xdr:cNvSpPr txBox="1">
              <a:spLocks noChangeArrowheads="1"/>
            </xdr:cNvSpPr>
          </xdr:nvSpPr>
          <xdr:spPr>
            <a:xfrm>
              <a:off x="5431631" y="8920546"/>
              <a:ext cx="1541264" cy="196496"/>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Date </a:t>
              </a:r>
              <a:r>
                <a:rPr lang="en-US" cap="none" sz="900" b="0" i="0" u="none" baseline="0">
                  <a:solidFill>
                    <a:srgbClr val="000000"/>
                  </a:solidFill>
                  <a:latin typeface="Arial"/>
                  <a:ea typeface="Arial"/>
                  <a:cs typeface="Arial"/>
                </a:rPr>
                <a:t>________  </a:t>
              </a:r>
              <a:r>
                <a:rPr lang="en-US" cap="none" sz="900" b="1" i="0" u="none" baseline="0">
                  <a:solidFill>
                    <a:srgbClr val="000000"/>
                  </a:solidFill>
                  <a:latin typeface="Arial"/>
                  <a:ea typeface="Arial"/>
                  <a:cs typeface="Arial"/>
                </a:rPr>
                <a:t>Initials </a:t>
              </a:r>
              <a:r>
                <a:rPr lang="en-US" cap="none" sz="900" b="0" i="0" u="none" baseline="0">
                  <a:solidFill>
                    <a:srgbClr val="000000"/>
                  </a:solidFill>
                  <a:latin typeface="Arial"/>
                  <a:ea typeface="Arial"/>
                  <a:cs typeface="Arial"/>
                </a:rPr>
                <a:t>____</a:t>
              </a:r>
            </a:p>
          </xdr:txBody>
        </xdr:sp>
        <xdr:sp>
          <xdr:nvSpPr>
            <xdr:cNvPr id="27" name="Text Box 107"/>
            <xdr:cNvSpPr txBox="1">
              <a:spLocks noChangeArrowheads="1"/>
            </xdr:cNvSpPr>
          </xdr:nvSpPr>
          <xdr:spPr>
            <a:xfrm>
              <a:off x="5431631" y="9233108"/>
              <a:ext cx="1550194" cy="178510"/>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Date </a:t>
              </a:r>
              <a:r>
                <a:rPr lang="en-US" cap="none" sz="900" b="0" i="0" u="none" baseline="0">
                  <a:solidFill>
                    <a:srgbClr val="000000"/>
                  </a:solidFill>
                  <a:latin typeface="Arial"/>
                  <a:ea typeface="Arial"/>
                  <a:cs typeface="Arial"/>
                </a:rPr>
                <a:t>________  </a:t>
              </a:r>
              <a:r>
                <a:rPr lang="en-US" cap="none" sz="900" b="1" i="0" u="none" baseline="0">
                  <a:solidFill>
                    <a:srgbClr val="000000"/>
                  </a:solidFill>
                  <a:latin typeface="Arial"/>
                  <a:ea typeface="Arial"/>
                  <a:cs typeface="Arial"/>
                </a:rPr>
                <a:t>Initials </a:t>
              </a:r>
              <a:r>
                <a:rPr lang="en-US" cap="none" sz="900" b="0" i="0" u="none" baseline="0">
                  <a:solidFill>
                    <a:srgbClr val="000000"/>
                  </a:solidFill>
                  <a:latin typeface="Arial"/>
                  <a:ea typeface="Arial"/>
                  <a:cs typeface="Arial"/>
                </a:rPr>
                <a:t>____</a:t>
              </a:r>
            </a:p>
          </xdr:txBody>
        </xdr:sp>
        <xdr:sp>
          <xdr:nvSpPr>
            <xdr:cNvPr id="28" name="Rectangle 109"/>
            <xdr:cNvSpPr>
              <a:spLocks/>
            </xdr:cNvSpPr>
          </xdr:nvSpPr>
          <xdr:spPr>
            <a:xfrm>
              <a:off x="4987826" y="9572480"/>
              <a:ext cx="1966317" cy="392992"/>
            </a:xfrm>
            <a:prstGeom prst="rect">
              <a:avLst/>
            </a:prstGeom>
            <a:solidFill>
              <a:srgbClr val="FFFFFF"/>
            </a:solidFill>
            <a:ln w="9525" cmpd="sng">
              <a:solidFill>
                <a:srgbClr val="000000"/>
              </a:solidFill>
              <a:headEnd type="none"/>
              <a:tailEnd type="none"/>
            </a:ln>
          </xdr:spPr>
          <xdr:txBody>
            <a:bodyPr vertOverflow="clip" wrap="square" lIns="27432" tIns="22860" rIns="0" bIns="0" anchor="ctr"/>
            <a:p>
              <a:pPr algn="l">
                <a:defRPr/>
              </a:pPr>
              <a:r>
                <a:rPr lang="en-US" cap="none" sz="800" b="1"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t>
              </a:r>
            </a:p>
          </xdr:txBody>
        </xdr:sp>
        <xdr:sp>
          <xdr:nvSpPr>
            <xdr:cNvPr id="29" name="TextBox 46"/>
            <xdr:cNvSpPr txBox="1">
              <a:spLocks noChangeArrowheads="1"/>
            </xdr:cNvSpPr>
          </xdr:nvSpPr>
          <xdr:spPr>
            <a:xfrm>
              <a:off x="3409950" y="9652911"/>
              <a:ext cx="1550194" cy="250117"/>
            </a:xfrm>
            <a:prstGeom prst="rect">
              <a:avLst/>
            </a:prstGeom>
            <a:noFill/>
            <a:ln w="9525" cmpd="sng">
              <a:noFill/>
            </a:ln>
          </xdr:spPr>
          <xdr:txBody>
            <a:bodyPr vertOverflow="clip" wrap="square"/>
            <a:p>
              <a:pPr algn="l">
                <a:defRPr/>
              </a:pPr>
              <a:r>
                <a:rPr lang="en-US" cap="none" sz="1000" b="1" i="0" u="none" baseline="0">
                  <a:solidFill>
                    <a:srgbClr val="000000"/>
                  </a:solidFill>
                </a:rPr>
                <a:t>TOTAL REBATE AMOUNT</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22</xdr:row>
      <xdr:rowOff>9525</xdr:rowOff>
    </xdr:from>
    <xdr:to>
      <xdr:col>4</xdr:col>
      <xdr:colOff>95250</xdr:colOff>
      <xdr:row>23</xdr:row>
      <xdr:rowOff>2133600</xdr:rowOff>
    </xdr:to>
    <xdr:graphicFrame>
      <xdr:nvGraphicFramePr>
        <xdr:cNvPr id="1" name="Chart 1"/>
        <xdr:cNvGraphicFramePr/>
      </xdr:nvGraphicFramePr>
      <xdr:xfrm>
        <a:off x="466725" y="2333625"/>
        <a:ext cx="3619500" cy="2314575"/>
      </xdr:xfrm>
      <a:graphic>
        <a:graphicData uri="http://schemas.openxmlformats.org/drawingml/2006/chart">
          <c:chart xmlns:c="http://schemas.openxmlformats.org/drawingml/2006/chart" r:id="rId1"/>
        </a:graphicData>
      </a:graphic>
    </xdr:graphicFrame>
    <xdr:clientData/>
  </xdr:twoCellAnchor>
  <xdr:twoCellAnchor>
    <xdr:from>
      <xdr:col>4</xdr:col>
      <xdr:colOff>257175</xdr:colOff>
      <xdr:row>22</xdr:row>
      <xdr:rowOff>0</xdr:rowOff>
    </xdr:from>
    <xdr:to>
      <xdr:col>8</xdr:col>
      <xdr:colOff>314325</xdr:colOff>
      <xdr:row>23</xdr:row>
      <xdr:rowOff>2114550</xdr:rowOff>
    </xdr:to>
    <xdr:graphicFrame>
      <xdr:nvGraphicFramePr>
        <xdr:cNvPr id="2" name="Chart 2"/>
        <xdr:cNvGraphicFramePr/>
      </xdr:nvGraphicFramePr>
      <xdr:xfrm>
        <a:off x="4248150" y="2324100"/>
        <a:ext cx="3514725" cy="2305050"/>
      </xdr:xfrm>
      <a:graphic>
        <a:graphicData uri="http://schemas.openxmlformats.org/drawingml/2006/chart">
          <c:chart xmlns:c="http://schemas.openxmlformats.org/drawingml/2006/chart" r:id="rId2"/>
        </a:graphicData>
      </a:graphic>
    </xdr:graphicFrame>
    <xdr:clientData/>
  </xdr:twoCellAnchor>
  <xdr:twoCellAnchor>
    <xdr:from>
      <xdr:col>1</xdr:col>
      <xdr:colOff>38100</xdr:colOff>
      <xdr:row>0</xdr:row>
      <xdr:rowOff>28575</xdr:rowOff>
    </xdr:from>
    <xdr:to>
      <xdr:col>9</xdr:col>
      <xdr:colOff>590550</xdr:colOff>
      <xdr:row>2</xdr:row>
      <xdr:rowOff>47625</xdr:rowOff>
    </xdr:to>
    <xdr:sp>
      <xdr:nvSpPr>
        <xdr:cNvPr id="3" name="Text Box 3"/>
        <xdr:cNvSpPr txBox="1">
          <a:spLocks noChangeArrowheads="1"/>
        </xdr:cNvSpPr>
      </xdr:nvSpPr>
      <xdr:spPr>
        <a:xfrm>
          <a:off x="400050" y="28575"/>
          <a:ext cx="8010525" cy="371475"/>
        </a:xfrm>
        <a:prstGeom prst="rect">
          <a:avLst/>
        </a:prstGeom>
        <a:solidFill>
          <a:srgbClr val="C0C0C0"/>
        </a:solidFill>
        <a:ln w="9525" cmpd="sng">
          <a:solidFill>
            <a:srgbClr val="000000"/>
          </a:solidFill>
          <a:headEnd type="none"/>
          <a:tailEnd type="none"/>
        </a:ln>
      </xdr:spPr>
      <xdr:txBody>
        <a:bodyPr vertOverflow="clip" wrap="square" lIns="45720" tIns="45720" rIns="45720" bIns="45720" anchor="ctr"/>
        <a:p>
          <a:pPr algn="ctr">
            <a:defRPr/>
          </a:pPr>
          <a:r>
            <a:rPr lang="en-US" cap="none" sz="1400" b="0" i="0" u="none" baseline="0">
              <a:solidFill>
                <a:srgbClr val="000000"/>
              </a:solidFill>
              <a:latin typeface="Arial Black"/>
              <a:ea typeface="Arial Black"/>
              <a:cs typeface="Arial Black"/>
            </a:rPr>
            <a:t>COOLING</a:t>
          </a:r>
          <a:r>
            <a:rPr lang="en-US" cap="none" sz="1400" b="0" i="0" u="none" baseline="0">
              <a:solidFill>
                <a:srgbClr val="000000"/>
              </a:solidFill>
              <a:latin typeface="Arial Black"/>
              <a:ea typeface="Arial Black"/>
              <a:cs typeface="Arial Black"/>
            </a:rPr>
            <a:t> </a:t>
          </a:r>
          <a:r>
            <a:rPr lang="en-US" cap="none" sz="1400" b="0" i="0" u="none" baseline="0">
              <a:solidFill>
                <a:srgbClr val="000000"/>
              </a:solidFill>
              <a:latin typeface="Arial Black"/>
              <a:ea typeface="Arial Black"/>
              <a:cs typeface="Arial Black"/>
            </a:rPr>
            <a:t>UPGRADE - FINANCIAL SUMMARY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66675</xdr:rowOff>
    </xdr:from>
    <xdr:to>
      <xdr:col>10</xdr:col>
      <xdr:colOff>571500</xdr:colOff>
      <xdr:row>58</xdr:row>
      <xdr:rowOff>142875</xdr:rowOff>
    </xdr:to>
    <xdr:sp>
      <xdr:nvSpPr>
        <xdr:cNvPr id="1" name="Rectangle 1"/>
        <xdr:cNvSpPr>
          <a:spLocks/>
        </xdr:cNvSpPr>
      </xdr:nvSpPr>
      <xdr:spPr>
        <a:xfrm>
          <a:off x="9525" y="8496300"/>
          <a:ext cx="6657975" cy="120967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38100</xdr:rowOff>
    </xdr:from>
    <xdr:to>
      <xdr:col>10</xdr:col>
      <xdr:colOff>590550</xdr:colOff>
      <xdr:row>1</xdr:row>
      <xdr:rowOff>95250</xdr:rowOff>
    </xdr:to>
    <xdr:sp>
      <xdr:nvSpPr>
        <xdr:cNvPr id="2" name="Rectangle 2"/>
        <xdr:cNvSpPr>
          <a:spLocks/>
        </xdr:cNvSpPr>
      </xdr:nvSpPr>
      <xdr:spPr>
        <a:xfrm>
          <a:off x="0" y="38100"/>
          <a:ext cx="6686550" cy="219075"/>
        </a:xfrm>
        <a:prstGeom prst="rect">
          <a:avLst/>
        </a:prstGeom>
        <a:solidFill>
          <a:srgbClr val="C0C0C0"/>
        </a:solidFill>
        <a:ln w="9525" cmpd="sng">
          <a:solidFill>
            <a:srgbClr val="000000"/>
          </a:solidFill>
          <a:headEnd type="none"/>
          <a:tailEnd type="none"/>
        </a:ln>
      </xdr:spPr>
      <xdr:txBody>
        <a:bodyPr vertOverflow="clip" wrap="square" lIns="36576" tIns="32004" rIns="0" bIns="0"/>
        <a:p>
          <a:pPr algn="l">
            <a:defRPr/>
          </a:pPr>
          <a:r>
            <a:rPr lang="en-US" cap="none" sz="1000" b="0" i="0" u="none" baseline="0">
              <a:solidFill>
                <a:srgbClr val="000000"/>
              </a:solidFill>
            </a:rPr>
            <a:t>6.  TERMS AND CONDITIONS</a:t>
          </a:r>
        </a:p>
      </xdr:txBody>
    </xdr:sp>
    <xdr:clientData/>
  </xdr:twoCellAnchor>
  <xdr:twoCellAnchor>
    <xdr:from>
      <xdr:col>0</xdr:col>
      <xdr:colOff>323850</xdr:colOff>
      <xdr:row>2</xdr:row>
      <xdr:rowOff>28575</xdr:rowOff>
    </xdr:from>
    <xdr:to>
      <xdr:col>10</xdr:col>
      <xdr:colOff>600075</xdr:colOff>
      <xdr:row>5</xdr:row>
      <xdr:rowOff>76200</xdr:rowOff>
    </xdr:to>
    <xdr:sp>
      <xdr:nvSpPr>
        <xdr:cNvPr id="3" name="Text Box 3"/>
        <xdr:cNvSpPr txBox="1">
          <a:spLocks noChangeArrowheads="1"/>
        </xdr:cNvSpPr>
      </xdr:nvSpPr>
      <xdr:spPr>
        <a:xfrm>
          <a:off x="323850" y="295275"/>
          <a:ext cx="6372225" cy="438150"/>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ELIGIBILITY
</a:t>
          </a:r>
          <a:r>
            <a:rPr lang="en-US" cap="none" sz="800" b="0" i="0" u="none" baseline="0">
              <a:solidFill>
                <a:srgbClr val="000000"/>
              </a:solidFill>
              <a:latin typeface="Arial"/>
              <a:ea typeface="Arial"/>
              <a:cs typeface="Arial"/>
            </a:rPr>
            <a:t>Rebates are available to non-residential electric customers of Austin Utilities, Owatonna Public Utilities, and Rochester Public Utilities (herein referred to as The Utility).  All products must be in use in facilities in The Utility service territory.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p>
      </xdr:txBody>
    </xdr:sp>
    <xdr:clientData/>
  </xdr:twoCellAnchor>
  <xdr:twoCellAnchor>
    <xdr:from>
      <xdr:col>0</xdr:col>
      <xdr:colOff>323850</xdr:colOff>
      <xdr:row>7</xdr:row>
      <xdr:rowOff>19050</xdr:rowOff>
    </xdr:from>
    <xdr:to>
      <xdr:col>10</xdr:col>
      <xdr:colOff>600075</xdr:colOff>
      <xdr:row>10</xdr:row>
      <xdr:rowOff>123825</xdr:rowOff>
    </xdr:to>
    <xdr:sp>
      <xdr:nvSpPr>
        <xdr:cNvPr id="4" name="Text Box 4"/>
        <xdr:cNvSpPr txBox="1">
          <a:spLocks noChangeArrowheads="1"/>
        </xdr:cNvSpPr>
      </xdr:nvSpPr>
      <xdr:spPr>
        <a:xfrm>
          <a:off x="323850" y="857250"/>
          <a:ext cx="6372225" cy="590550"/>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APPLICATION
</a:t>
          </a:r>
          <a:r>
            <a:rPr lang="en-US" cap="none" sz="800" b="0" i="0" u="none" baseline="0">
              <a:solidFill>
                <a:srgbClr val="000000"/>
              </a:solidFill>
              <a:latin typeface="Arial"/>
              <a:ea typeface="Arial"/>
              <a:cs typeface="Arial"/>
            </a:rPr>
            <a:t>Program is offered January 1 through December 31 of the respective calendar year.  </a:t>
          </a:r>
          <a:r>
            <a:rPr lang="en-US" cap="none" sz="800" b="1" i="0" u="none" baseline="0">
              <a:solidFill>
                <a:srgbClr val="000000"/>
              </a:solidFill>
              <a:latin typeface="Arial"/>
              <a:ea typeface="Arial"/>
              <a:cs typeface="Arial"/>
            </a:rPr>
            <a:t>Due to limited funding, this rebate offer can be changed or withdrawn at any time without notice and is available on a first-come, first-serve basis. </a:t>
          </a:r>
          <a:r>
            <a:rPr lang="en-US" cap="none" sz="800" b="0" i="0" u="none" baseline="0">
              <a:solidFill>
                <a:srgbClr val="000000"/>
              </a:solidFill>
              <a:latin typeface="Arial"/>
              <a:ea typeface="Arial"/>
              <a:cs typeface="Arial"/>
            </a:rPr>
            <a:t>The entire rebate application must be read and filled out completely or application will be returned.  
</a:t>
          </a:r>
        </a:p>
      </xdr:txBody>
    </xdr:sp>
    <xdr:clientData/>
  </xdr:twoCellAnchor>
  <xdr:twoCellAnchor>
    <xdr:from>
      <xdr:col>0</xdr:col>
      <xdr:colOff>323850</xdr:colOff>
      <xdr:row>13</xdr:row>
      <xdr:rowOff>28575</xdr:rowOff>
    </xdr:from>
    <xdr:to>
      <xdr:col>10</xdr:col>
      <xdr:colOff>600075</xdr:colOff>
      <xdr:row>15</xdr:row>
      <xdr:rowOff>152400</xdr:rowOff>
    </xdr:to>
    <xdr:sp>
      <xdr:nvSpPr>
        <xdr:cNvPr id="5" name="Text Box 5"/>
        <xdr:cNvSpPr txBox="1">
          <a:spLocks noChangeArrowheads="1"/>
        </xdr:cNvSpPr>
      </xdr:nvSpPr>
      <xdr:spPr>
        <a:xfrm>
          <a:off x="323850" y="1571625"/>
          <a:ext cx="6372225" cy="4476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INSPECTION AND VERIFICATION
</a:t>
          </a:r>
          <a:r>
            <a:rPr lang="en-US" cap="none" sz="800" b="0" i="0" u="none" baseline="0">
              <a:solidFill>
                <a:srgbClr val="000000"/>
              </a:solidFill>
              <a:latin typeface="Arial"/>
              <a:ea typeface="Arial"/>
              <a:cs typeface="Arial"/>
            </a:rPr>
            <a:t>The Utility reserves the right to inspect the customer's facility through on-site visits before and after new equipment installation to verify the rebate eligibility.  </a:t>
          </a:r>
        </a:p>
      </xdr:txBody>
    </xdr:sp>
    <xdr:clientData/>
  </xdr:twoCellAnchor>
  <xdr:twoCellAnchor>
    <xdr:from>
      <xdr:col>0</xdr:col>
      <xdr:colOff>323850</xdr:colOff>
      <xdr:row>17</xdr:row>
      <xdr:rowOff>38100</xdr:rowOff>
    </xdr:from>
    <xdr:to>
      <xdr:col>10</xdr:col>
      <xdr:colOff>600075</xdr:colOff>
      <xdr:row>21</xdr:row>
      <xdr:rowOff>104775</xdr:rowOff>
    </xdr:to>
    <xdr:sp>
      <xdr:nvSpPr>
        <xdr:cNvPr id="6" name="Text Box 6"/>
        <xdr:cNvSpPr txBox="1">
          <a:spLocks noChangeArrowheads="1"/>
        </xdr:cNvSpPr>
      </xdr:nvSpPr>
      <xdr:spPr>
        <a:xfrm>
          <a:off x="323850" y="2209800"/>
          <a:ext cx="6372225" cy="7143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INSTALLATION AND REBATE AMOUNTS
</a:t>
          </a:r>
          <a:r>
            <a:rPr lang="en-US" cap="none" sz="800" b="0" i="0" u="none" baseline="0">
              <a:solidFill>
                <a:srgbClr val="000000"/>
              </a:solidFill>
              <a:latin typeface="Arial"/>
              <a:ea typeface="Arial"/>
              <a:cs typeface="Arial"/>
            </a:rPr>
            <a:t>Qualifying energy-efficient equipment installed and operational within six (6) months of the date of purchase are eligible for rebate.  Additional time may be granted subject to The Utility's pre-approval.  In no case will the rebate paid by The Utility exceed the purchase price of the equipment.  The maximum rebate amount is $25,000 per customer location per technology year.  The Utility can, at its sole discretion, increase rebate amounts. </a:t>
          </a:r>
        </a:p>
      </xdr:txBody>
    </xdr:sp>
    <xdr:clientData/>
  </xdr:twoCellAnchor>
  <xdr:twoCellAnchor>
    <xdr:from>
      <xdr:col>0</xdr:col>
      <xdr:colOff>323850</xdr:colOff>
      <xdr:row>22</xdr:row>
      <xdr:rowOff>9525</xdr:rowOff>
    </xdr:from>
    <xdr:to>
      <xdr:col>10</xdr:col>
      <xdr:colOff>600075</xdr:colOff>
      <xdr:row>27</xdr:row>
      <xdr:rowOff>0</xdr:rowOff>
    </xdr:to>
    <xdr:sp>
      <xdr:nvSpPr>
        <xdr:cNvPr id="7" name="Text Box 7"/>
        <xdr:cNvSpPr txBox="1">
          <a:spLocks noChangeArrowheads="1"/>
        </xdr:cNvSpPr>
      </xdr:nvSpPr>
      <xdr:spPr>
        <a:xfrm>
          <a:off x="323850" y="2933700"/>
          <a:ext cx="6372225" cy="876300"/>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INVOICE AND PAYMENT
</a:t>
          </a:r>
          <a:r>
            <a:rPr lang="en-US" cap="none" sz="800" b="0" i="0" u="none" baseline="0">
              <a:solidFill>
                <a:srgbClr val="000000"/>
              </a:solidFill>
              <a:latin typeface="Arial"/>
              <a:ea typeface="Arial"/>
              <a:cs typeface="Arial"/>
            </a:rPr>
            <a:t>Following inspection and verification (see #3) and </a:t>
          </a:r>
          <a:r>
            <a:rPr lang="en-US" cap="none" sz="800" b="0" i="0" u="sng" baseline="0">
              <a:solidFill>
                <a:srgbClr val="000000"/>
              </a:solidFill>
              <a:latin typeface="Arial"/>
              <a:ea typeface="Arial"/>
              <a:cs typeface="Arial"/>
            </a:rPr>
            <a:t>completed</a:t>
          </a:r>
          <a:r>
            <a:rPr lang="en-US" cap="none" sz="800" b="0" i="0" u="none" baseline="0">
              <a:solidFill>
                <a:srgbClr val="000000"/>
              </a:solidFill>
              <a:latin typeface="Arial"/>
              <a:ea typeface="Arial"/>
              <a:cs typeface="Arial"/>
            </a:rPr>
            <a:t> installation, the customer must notify The Utility and submit original invoices specifying the quantity and price of all materials purchased, the date ordered, installation costs, and applicable taxes.  Additionally, SEER/EER (Rooftop &amp; Packaged, and </a:t>
          </a:r>
          <a:r>
            <a:rPr lang="en-US" cap="none" sz="800" b="0" i="0" u="none" baseline="0">
              <a:solidFill>
                <a:srgbClr val="000000"/>
              </a:solidFill>
              <a:latin typeface="Arial"/>
              <a:ea typeface="Arial"/>
              <a:cs typeface="Arial"/>
            </a:rPr>
            <a:t>Condensing ACUnits) certification data or manufacturer's kW per Ton (Central Chillers) is required to be submitted with invoices. </a:t>
          </a:r>
          <a:r>
            <a:rPr lang="en-US" cap="none" sz="800" b="0" i="0" u="none" baseline="0">
              <a:solidFill>
                <a:srgbClr val="000000"/>
              </a:solidFill>
              <a:latin typeface="Arial"/>
              <a:ea typeface="Arial"/>
              <a:cs typeface="Arial"/>
            </a:rPr>
            <a:t>After satisfactory review of the application and invoices, a rebate check or bill credit will be issued to the customer.  Please allow 6-10 weeks from the date of application submission for delivery of rebate check or bill credit. </a:t>
          </a:r>
        </a:p>
      </xdr:txBody>
    </xdr:sp>
    <xdr:clientData/>
  </xdr:twoCellAnchor>
  <xdr:twoCellAnchor>
    <xdr:from>
      <xdr:col>0</xdr:col>
      <xdr:colOff>333375</xdr:colOff>
      <xdr:row>27</xdr:row>
      <xdr:rowOff>0</xdr:rowOff>
    </xdr:from>
    <xdr:to>
      <xdr:col>10</xdr:col>
      <xdr:colOff>571500</xdr:colOff>
      <xdr:row>37</xdr:row>
      <xdr:rowOff>695325</xdr:rowOff>
    </xdr:to>
    <xdr:sp>
      <xdr:nvSpPr>
        <xdr:cNvPr id="8" name="Text Box 8"/>
        <xdr:cNvSpPr txBox="1">
          <a:spLocks noChangeArrowheads="1"/>
        </xdr:cNvSpPr>
      </xdr:nvSpPr>
      <xdr:spPr>
        <a:xfrm>
          <a:off x="333375" y="3810000"/>
          <a:ext cx="6334125" cy="23145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EQUIPMENT ELIGIBILITY REQUIREMENTS
</a:t>
          </a:r>
          <a:r>
            <a:rPr lang="en-US" cap="none" sz="800" b="0" i="0" u="none" baseline="0">
              <a:solidFill>
                <a:srgbClr val="000000"/>
              </a:solidFill>
              <a:latin typeface="Arial"/>
              <a:ea typeface="Arial"/>
              <a:cs typeface="Arial"/>
            </a:rPr>
            <a:t>Eligible high-efficiency cooling equipment must meet or exceed The Utility's minimum efficiency requirements as identified in Table 1 and 3 according to its respective characteristics.  Eligible high-efficiency cooling units must replace units of lesser efficiencies and of equivalent or greater capacity (Tons or Btu's /hour) to qualify for rebate.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Rooftop, Packaged, and Condensing A/C Units: </a:t>
          </a:r>
          <a:r>
            <a:rPr lang="en-US" cap="none" sz="800" b="0" i="0" u="none" baseline="0">
              <a:solidFill>
                <a:srgbClr val="000000"/>
              </a:solidFill>
              <a:latin typeface="Arial"/>
              <a:ea typeface="Arial"/>
              <a:cs typeface="Arial"/>
            </a:rPr>
            <a:t>Qualifying unitary A/C units must have been rated accordance with the most recent version of AHRI Standard 210/240 if under 65,000 BTU/hour and AHRI 340/360 if above 65,000 BTU/hour, and have nameplate data stamped with the SEER/EER.  If equipment is larger than the AHRI standard certification process, it must be listed as a standard combination in manufacturer's literature. A copy of the manufacturer's applicable unit rating must accompany this application. The AHRI directory and standards are located at www.ahridirectory.org.
</a:t>
          </a:r>
          <a:r>
            <a:rPr lang="en-US" cap="none" sz="1100" b="0" i="0" u="none" baseline="0">
              <a:solidFill>
                <a:srgbClr val="000000"/>
              </a:solidFill>
              <a:latin typeface="Calibri"/>
              <a:ea typeface="Calibri"/>
              <a:cs typeface="Calibri"/>
            </a:rPr>
            <a:t>
</a:t>
          </a:r>
          <a:r>
            <a:rPr lang="en-US" cap="none" sz="800" b="1" i="0" u="none" baseline="0">
              <a:solidFill>
                <a:srgbClr val="000000"/>
              </a:solidFill>
              <a:latin typeface="Arial"/>
              <a:ea typeface="Arial"/>
              <a:cs typeface="Arial"/>
            </a:rPr>
            <a:t>Central Chillers:  </a:t>
          </a:r>
          <a:r>
            <a:rPr lang="en-US" cap="none" sz="800" b="0" i="0" u="none" baseline="0">
              <a:solidFill>
                <a:srgbClr val="000000"/>
              </a:solidFill>
              <a:latin typeface="Arial"/>
              <a:ea typeface="Arial"/>
              <a:cs typeface="Arial"/>
            </a:rPr>
            <a:t>Qualifying chillers must meet the efficiency requirements shown in Table 3 to be eligible and kW per Ton ratings stamped on the nameplate. Documentation is required. This can be a printout from the AHRI directory (www.ahridirectory.org) or if the chiller has not been tested by AHRI, manufacturer documentation must show the rated capacity (tons) and the IPLV efficiency and full-load efficiency at AHRI standard 550/590 rating conditions: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44</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F leaving chilled water temperature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85</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F entering condenser water temperature (for water cooled chillers)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95</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F entering condenser air temperature (for air cooled chillers) 
</a:t>
          </a:r>
          <a:r>
            <a:rPr lang="en-US" cap="none" sz="800" b="0" i="0" u="none" baseline="0">
              <a:solidFill>
                <a:srgbClr val="000000"/>
              </a:solidFill>
              <a:latin typeface="Arial"/>
              <a:ea typeface="Arial"/>
              <a:cs typeface="Arial"/>
            </a:rPr>
            <a:t>
</a:t>
          </a:r>
        </a:p>
      </xdr:txBody>
    </xdr:sp>
    <xdr:clientData/>
  </xdr:twoCellAnchor>
  <xdr:twoCellAnchor>
    <xdr:from>
      <xdr:col>0</xdr:col>
      <xdr:colOff>323850</xdr:colOff>
      <xdr:row>38</xdr:row>
      <xdr:rowOff>19050</xdr:rowOff>
    </xdr:from>
    <xdr:to>
      <xdr:col>10</xdr:col>
      <xdr:colOff>600075</xdr:colOff>
      <xdr:row>40</xdr:row>
      <xdr:rowOff>161925</xdr:rowOff>
    </xdr:to>
    <xdr:sp>
      <xdr:nvSpPr>
        <xdr:cNvPr id="9" name="Text Box 9"/>
        <xdr:cNvSpPr txBox="1">
          <a:spLocks noChangeArrowheads="1"/>
        </xdr:cNvSpPr>
      </xdr:nvSpPr>
      <xdr:spPr>
        <a:xfrm>
          <a:off x="323850" y="6153150"/>
          <a:ext cx="6372225" cy="457200"/>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TAX INFORMATION 
</a:t>
          </a:r>
          <a:r>
            <a:rPr lang="en-US" cap="none" sz="800" b="0" i="0" u="none" baseline="0">
              <a:solidFill>
                <a:srgbClr val="000000"/>
              </a:solidFill>
              <a:latin typeface="Arial"/>
              <a:ea typeface="Arial"/>
              <a:cs typeface="Arial"/>
            </a:rPr>
            <a:t>The Utility will not be responsible for any tax liability imposed as a result of the rebate payment(s).  Customers are advised to consult their tax advisors for details.</a:t>
          </a:r>
        </a:p>
      </xdr:txBody>
    </xdr:sp>
    <xdr:clientData/>
  </xdr:twoCellAnchor>
  <xdr:twoCellAnchor>
    <xdr:from>
      <xdr:col>0</xdr:col>
      <xdr:colOff>323850</xdr:colOff>
      <xdr:row>41</xdr:row>
      <xdr:rowOff>28575</xdr:rowOff>
    </xdr:from>
    <xdr:to>
      <xdr:col>10</xdr:col>
      <xdr:colOff>600075</xdr:colOff>
      <xdr:row>45</xdr:row>
      <xdr:rowOff>209550</xdr:rowOff>
    </xdr:to>
    <xdr:sp>
      <xdr:nvSpPr>
        <xdr:cNvPr id="10" name="Text Box 10"/>
        <xdr:cNvSpPr txBox="1">
          <a:spLocks noChangeArrowheads="1"/>
        </xdr:cNvSpPr>
      </xdr:nvSpPr>
      <xdr:spPr>
        <a:xfrm>
          <a:off x="323850" y="6638925"/>
          <a:ext cx="6372225" cy="8286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DISCLAIMER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Utility does not guarantee that the implementation of energy-efficient measures or use of the equipment purchased or installed pursuant to this program will result in energy or cost savings.  The Utility makes no warranties, expressed or implied, with respect to any equipment purchased or installed including, but not limited to, any warrant of merchantability or fitness for purpose.  In no event shall The Utility be liable for any incidental or consequential damages.  Customers are solely responsible </a:t>
          </a:r>
          <a:r>
            <a:rPr lang="en-US" cap="none" sz="800" b="0" i="0" u="none" baseline="0">
              <a:solidFill>
                <a:srgbClr val="000000"/>
              </a:solidFill>
              <a:latin typeface="Arial"/>
              <a:ea typeface="Arial"/>
              <a:cs typeface="Arial"/>
            </a:rPr>
            <a:t>for the proper disposal of existing equipment.  Consult the Minnesota Pollution Control Agency (MPCA) office for details at (800) 657-3864.</a:t>
          </a:r>
        </a:p>
      </xdr:txBody>
    </xdr:sp>
    <xdr:clientData/>
  </xdr:twoCellAnchor>
  <xdr:twoCellAnchor>
    <xdr:from>
      <xdr:col>0</xdr:col>
      <xdr:colOff>333375</xdr:colOff>
      <xdr:row>46</xdr:row>
      <xdr:rowOff>9525</xdr:rowOff>
    </xdr:from>
    <xdr:to>
      <xdr:col>11</xdr:col>
      <xdr:colOff>0</xdr:colOff>
      <xdr:row>48</xdr:row>
      <xdr:rowOff>104775</xdr:rowOff>
    </xdr:to>
    <xdr:sp>
      <xdr:nvSpPr>
        <xdr:cNvPr id="11" name="Text Box 11"/>
        <xdr:cNvSpPr txBox="1">
          <a:spLocks noChangeArrowheads="1"/>
        </xdr:cNvSpPr>
      </xdr:nvSpPr>
      <xdr:spPr>
        <a:xfrm>
          <a:off x="333375" y="7477125"/>
          <a:ext cx="6372225" cy="419100"/>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ENDORSEMENT 
</a:t>
          </a:r>
          <a:r>
            <a:rPr lang="en-US" cap="none" sz="800" b="0" i="0" u="none" baseline="0">
              <a:solidFill>
                <a:srgbClr val="000000"/>
              </a:solidFill>
              <a:latin typeface="Arial"/>
              <a:ea typeface="Arial"/>
              <a:cs typeface="Arial"/>
            </a:rPr>
            <a:t>The Utility does not endorse any particular vendor, manufacturer, product, or system in promoting this rebate program.  Listing a vendor or product does not constitute an endorsement, nor does it imply that unlisted vendors or products are deficient or defective in any way. </a:t>
          </a:r>
        </a:p>
      </xdr:txBody>
    </xdr:sp>
    <xdr:clientData/>
  </xdr:twoCellAnchor>
  <xdr:twoCellAnchor>
    <xdr:from>
      <xdr:col>0</xdr:col>
      <xdr:colOff>323850</xdr:colOff>
      <xdr:row>49</xdr:row>
      <xdr:rowOff>9525</xdr:rowOff>
    </xdr:from>
    <xdr:to>
      <xdr:col>10</xdr:col>
      <xdr:colOff>600075</xdr:colOff>
      <xdr:row>51</xdr:row>
      <xdr:rowOff>28575</xdr:rowOff>
    </xdr:to>
    <xdr:sp>
      <xdr:nvSpPr>
        <xdr:cNvPr id="12" name="Text Box 12"/>
        <xdr:cNvSpPr txBox="1">
          <a:spLocks noChangeArrowheads="1"/>
        </xdr:cNvSpPr>
      </xdr:nvSpPr>
      <xdr:spPr>
        <a:xfrm>
          <a:off x="323850" y="7905750"/>
          <a:ext cx="6372225" cy="552450"/>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PRIVACY
</a:t>
          </a:r>
          <a:r>
            <a:rPr lang="en-US" cap="none" sz="800" b="0" i="0" u="none" baseline="0">
              <a:solidFill>
                <a:srgbClr val="000000"/>
              </a:solidFill>
              <a:latin typeface="Arial"/>
              <a:ea typeface="Arial"/>
              <a:cs typeface="Arial"/>
            </a:rPr>
            <a:t>Information contained in this rebate application may be shared with the Minnesota Department of Commerce and our co-op partners </a:t>
          </a:r>
          <a:r>
            <a:rPr lang="en-US" cap="none" sz="800" b="0" i="0" u="none" baseline="0">
              <a:solidFill>
                <a:srgbClr val="000000"/>
              </a:solidFill>
              <a:latin typeface="Arial"/>
              <a:ea typeface="Arial"/>
              <a:cs typeface="Arial"/>
            </a:rPr>
            <a:t>and may also be used in our advertising efforts with your permission as granted in Section 2 of this rebate application</a:t>
          </a:r>
          <a:r>
            <a:rPr lang="en-US" cap="none" sz="1000" b="0" i="0" u="none" baseline="0">
              <a:solidFill>
                <a:srgbClr val="000000"/>
              </a:solidFill>
              <a:latin typeface="Calibri"/>
              <a:ea typeface="Calibri"/>
              <a:cs typeface="Calibri"/>
            </a:rPr>
            <a:t>.</a:t>
          </a:r>
        </a:p>
      </xdr:txBody>
    </xdr:sp>
    <xdr:clientData/>
  </xdr:twoCellAnchor>
  <xdr:twoCellAnchor>
    <xdr:from>
      <xdr:col>0</xdr:col>
      <xdr:colOff>400050</xdr:colOff>
      <xdr:row>52</xdr:row>
      <xdr:rowOff>142875</xdr:rowOff>
    </xdr:from>
    <xdr:to>
      <xdr:col>3</xdr:col>
      <xdr:colOff>238125</xdr:colOff>
      <xdr:row>58</xdr:row>
      <xdr:rowOff>76200</xdr:rowOff>
    </xdr:to>
    <xdr:sp>
      <xdr:nvSpPr>
        <xdr:cNvPr id="13" name="Rectangle 13"/>
        <xdr:cNvSpPr>
          <a:spLocks/>
        </xdr:cNvSpPr>
      </xdr:nvSpPr>
      <xdr:spPr>
        <a:xfrm>
          <a:off x="400050" y="8734425"/>
          <a:ext cx="1666875" cy="904875"/>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latin typeface="Arial"/>
              <a:ea typeface="Arial"/>
              <a:cs typeface="Arial"/>
            </a:rPr>
            <a:t>Austin Utilities
</a:t>
          </a:r>
          <a:r>
            <a:rPr lang="en-US" cap="none" sz="800" b="0" i="0" u="none" baseline="0">
              <a:solidFill>
                <a:srgbClr val="000000"/>
              </a:solidFill>
              <a:latin typeface="Arial"/>
              <a:ea typeface="Arial"/>
              <a:cs typeface="Arial"/>
            </a:rPr>
            <a:t>Attn: Rebate Processing
</a:t>
          </a:r>
          <a:r>
            <a:rPr lang="en-US" cap="none" sz="800" b="0" i="0" u="none" baseline="0">
              <a:solidFill>
                <a:srgbClr val="000000"/>
              </a:solidFill>
              <a:latin typeface="Arial"/>
              <a:ea typeface="Arial"/>
              <a:cs typeface="Arial"/>
            </a:rPr>
            <a:t>400 - 4th Street NE
</a:t>
          </a:r>
          <a:r>
            <a:rPr lang="en-US" cap="none" sz="800" b="0" i="0" u="none" baseline="0">
              <a:solidFill>
                <a:srgbClr val="000000"/>
              </a:solidFill>
              <a:latin typeface="Arial"/>
              <a:ea typeface="Arial"/>
              <a:cs typeface="Arial"/>
            </a:rPr>
            <a:t>Austin, MN 55912
</a:t>
          </a:r>
          <a:r>
            <a:rPr lang="en-US" cap="none" sz="800" b="0" i="0" u="none" baseline="0">
              <a:solidFill>
                <a:srgbClr val="000000"/>
              </a:solidFill>
              <a:latin typeface="Arial"/>
              <a:ea typeface="Arial"/>
              <a:cs typeface="Arial"/>
            </a:rPr>
            <a:t>(507) 433-8886
</a:t>
          </a:r>
          <a:r>
            <a:rPr lang="en-US" cap="none" sz="800" b="0" i="0" u="none" baseline="0">
              <a:solidFill>
                <a:srgbClr val="000000"/>
              </a:solidFill>
              <a:latin typeface="Arial"/>
              <a:ea typeface="Arial"/>
              <a:cs typeface="Arial"/>
            </a:rPr>
            <a:t>(507) 433-5045 fax
</a:t>
          </a:r>
          <a:r>
            <a:rPr lang="en-US" cap="none" sz="800" b="0" i="0" u="none" baseline="0">
              <a:solidFill>
                <a:srgbClr val="000000"/>
              </a:solidFill>
              <a:latin typeface="Arial"/>
              <a:ea typeface="Arial"/>
              <a:cs typeface="Arial"/>
            </a:rPr>
            <a:t>www.austinutilities.com
</a:t>
          </a:r>
        </a:p>
      </xdr:txBody>
    </xdr:sp>
    <xdr:clientData/>
  </xdr:twoCellAnchor>
  <xdr:twoCellAnchor>
    <xdr:from>
      <xdr:col>3</xdr:col>
      <xdr:colOff>495300</xdr:colOff>
      <xdr:row>52</xdr:row>
      <xdr:rowOff>142875</xdr:rowOff>
    </xdr:from>
    <xdr:to>
      <xdr:col>6</xdr:col>
      <xdr:colOff>333375</xdr:colOff>
      <xdr:row>58</xdr:row>
      <xdr:rowOff>76200</xdr:rowOff>
    </xdr:to>
    <xdr:sp>
      <xdr:nvSpPr>
        <xdr:cNvPr id="14" name="Rectangle 14"/>
        <xdr:cNvSpPr>
          <a:spLocks/>
        </xdr:cNvSpPr>
      </xdr:nvSpPr>
      <xdr:spPr>
        <a:xfrm>
          <a:off x="2324100" y="8734425"/>
          <a:ext cx="1666875" cy="904875"/>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latin typeface="Arial"/>
              <a:ea typeface="Arial"/>
              <a:cs typeface="Arial"/>
            </a:rPr>
            <a:t>Owatonna Public Utilities
</a:t>
          </a:r>
          <a:r>
            <a:rPr lang="en-US" cap="none" sz="800" b="0" i="0" u="none" baseline="0">
              <a:solidFill>
                <a:srgbClr val="000000"/>
              </a:solidFill>
              <a:latin typeface="Arial"/>
              <a:ea typeface="Arial"/>
              <a:cs typeface="Arial"/>
            </a:rPr>
            <a:t>Attn: Rebate Processing
</a:t>
          </a:r>
          <a:r>
            <a:rPr lang="en-US" cap="none" sz="800" b="0" i="0" u="none" baseline="0">
              <a:solidFill>
                <a:srgbClr val="000000"/>
              </a:solidFill>
              <a:latin typeface="Arial"/>
              <a:ea typeface="Arial"/>
              <a:cs typeface="Arial"/>
            </a:rPr>
            <a:t>P.O. Box 800
</a:t>
          </a:r>
          <a:r>
            <a:rPr lang="en-US" cap="none" sz="800" b="0" i="0" u="none" baseline="0">
              <a:solidFill>
                <a:srgbClr val="000000"/>
              </a:solidFill>
              <a:latin typeface="Arial"/>
              <a:ea typeface="Arial"/>
              <a:cs typeface="Arial"/>
            </a:rPr>
            <a:t>Owatonna, MN 55060
</a:t>
          </a:r>
          <a:r>
            <a:rPr lang="en-US" cap="none" sz="800" b="0" i="0" u="none" baseline="0">
              <a:solidFill>
                <a:srgbClr val="000000"/>
              </a:solidFill>
              <a:latin typeface="Arial"/>
              <a:ea typeface="Arial"/>
              <a:cs typeface="Arial"/>
            </a:rPr>
            <a:t>(507) 451-2480
</a:t>
          </a:r>
          <a:r>
            <a:rPr lang="en-US" cap="none" sz="800" b="0" i="0" u="none" baseline="0">
              <a:solidFill>
                <a:srgbClr val="000000"/>
              </a:solidFill>
              <a:latin typeface="Arial"/>
              <a:ea typeface="Arial"/>
              <a:cs typeface="Arial"/>
            </a:rPr>
            <a:t>(507) 451-4940 fax
</a:t>
          </a:r>
          <a:r>
            <a:rPr lang="en-US" cap="none" sz="800" b="0" i="0" u="none" baseline="0">
              <a:solidFill>
                <a:srgbClr val="000000"/>
              </a:solidFill>
              <a:latin typeface="Arial"/>
              <a:ea typeface="Arial"/>
              <a:cs typeface="Arial"/>
            </a:rPr>
            <a:t>www.owatonnautilities.com
</a:t>
          </a:r>
        </a:p>
      </xdr:txBody>
    </xdr:sp>
    <xdr:clientData/>
  </xdr:twoCellAnchor>
  <xdr:twoCellAnchor>
    <xdr:from>
      <xdr:col>7</xdr:col>
      <xdr:colOff>123825</xdr:colOff>
      <xdr:row>52</xdr:row>
      <xdr:rowOff>142875</xdr:rowOff>
    </xdr:from>
    <xdr:to>
      <xdr:col>9</xdr:col>
      <xdr:colOff>571500</xdr:colOff>
      <xdr:row>58</xdr:row>
      <xdr:rowOff>76200</xdr:rowOff>
    </xdr:to>
    <xdr:sp>
      <xdr:nvSpPr>
        <xdr:cNvPr id="15" name="Rectangle 15"/>
        <xdr:cNvSpPr>
          <a:spLocks/>
        </xdr:cNvSpPr>
      </xdr:nvSpPr>
      <xdr:spPr>
        <a:xfrm>
          <a:off x="4391025" y="8734425"/>
          <a:ext cx="1666875" cy="904875"/>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latin typeface="Arial"/>
              <a:ea typeface="Arial"/>
              <a:cs typeface="Arial"/>
            </a:rPr>
            <a:t>Rochester Public Utilities
</a:t>
          </a:r>
          <a:r>
            <a:rPr lang="en-US" cap="none" sz="800" b="0" i="0" u="none" baseline="0">
              <a:solidFill>
                <a:srgbClr val="000000"/>
              </a:solidFill>
              <a:latin typeface="Arial"/>
              <a:ea typeface="Arial"/>
              <a:cs typeface="Arial"/>
            </a:rPr>
            <a:t>Attn: Rebate Processing
</a:t>
          </a:r>
          <a:r>
            <a:rPr lang="en-US" cap="none" sz="800" b="0" i="0" u="none" baseline="0">
              <a:solidFill>
                <a:srgbClr val="000000"/>
              </a:solidFill>
              <a:latin typeface="Arial"/>
              <a:ea typeface="Arial"/>
              <a:cs typeface="Arial"/>
            </a:rPr>
            <a:t>4000 East River Road NE
</a:t>
          </a:r>
          <a:r>
            <a:rPr lang="en-US" cap="none" sz="800" b="0" i="0" u="none" baseline="0">
              <a:solidFill>
                <a:srgbClr val="000000"/>
              </a:solidFill>
              <a:latin typeface="Arial"/>
              <a:ea typeface="Arial"/>
              <a:cs typeface="Arial"/>
            </a:rPr>
            <a:t>Rochester, MN 55906-2813
</a:t>
          </a:r>
          <a:r>
            <a:rPr lang="en-US" cap="none" sz="800" b="0" i="0" u="none" baseline="0">
              <a:solidFill>
                <a:srgbClr val="000000"/>
              </a:solidFill>
              <a:latin typeface="Arial"/>
              <a:ea typeface="Arial"/>
              <a:cs typeface="Arial"/>
            </a:rPr>
            <a:t>(507) 280-1500
</a:t>
          </a:r>
          <a:r>
            <a:rPr lang="en-US" cap="none" sz="800" b="0" i="0" u="none" baseline="0">
              <a:solidFill>
                <a:srgbClr val="000000"/>
              </a:solidFill>
              <a:latin typeface="Arial"/>
              <a:ea typeface="Arial"/>
              <a:cs typeface="Arial"/>
            </a:rPr>
            <a:t>(507) 280-1542 fax
</a:t>
          </a:r>
          <a:r>
            <a:rPr lang="en-US" cap="none" sz="800" b="0" i="0" u="none" baseline="0">
              <a:solidFill>
                <a:srgbClr val="000000"/>
              </a:solidFill>
              <a:latin typeface="Arial"/>
              <a:ea typeface="Arial"/>
              <a:cs typeface="Arial"/>
            </a:rPr>
            <a:t>www.rpu.org
</a:t>
          </a:r>
        </a:p>
      </xdr:txBody>
    </xdr:sp>
    <xdr:clientData/>
  </xdr:twoCellAnchor>
  <xdr:twoCellAnchor>
    <xdr:from>
      <xdr:col>0</xdr:col>
      <xdr:colOff>0</xdr:colOff>
      <xdr:row>51</xdr:row>
      <xdr:rowOff>85725</xdr:rowOff>
    </xdr:from>
    <xdr:to>
      <xdr:col>10</xdr:col>
      <xdr:colOff>552450</xdr:colOff>
      <xdr:row>53</xdr:row>
      <xdr:rowOff>28575</xdr:rowOff>
    </xdr:to>
    <xdr:sp>
      <xdr:nvSpPr>
        <xdr:cNvPr id="16" name="Text Box 16"/>
        <xdr:cNvSpPr txBox="1">
          <a:spLocks noChangeArrowheads="1"/>
        </xdr:cNvSpPr>
      </xdr:nvSpPr>
      <xdr:spPr>
        <a:xfrm>
          <a:off x="0" y="8515350"/>
          <a:ext cx="6648450" cy="2667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RETURN COMPLETED APPLICATION AND REQUIRED DOCUMENTATION TO YOUR UTILITY PROVIDER: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PU\CR\MARKETING\Commercial%20Segment\Rebates\2%20Interactive%20Rebate%20Applications\Lighting\Interactive%20Lighting%20Rebate%20Application%20Revised%2011.9.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ustomer Information"/>
      <sheetName val="Lighting Equipment Entry"/>
      <sheetName val="Occup. Sensors-Photocells Entry"/>
      <sheetName val="Lighting Equipment Savings"/>
      <sheetName val="Occup. Snsrs-Photocells Savings"/>
      <sheetName val="Financial Summary"/>
      <sheetName val="Terms and Conditions"/>
      <sheetName val="Modification Instructions"/>
      <sheetName val="Revision Log"/>
      <sheetName val="Rebate Tables"/>
      <sheetName val="Results"/>
      <sheetName val="Rebate Questions"/>
    </sheetNames>
    <sheetDataSet>
      <sheetData sheetId="2">
        <row r="23">
          <cell r="K23">
            <v>0</v>
          </cell>
        </row>
        <row r="25">
          <cell r="L25">
            <v>0</v>
          </cell>
        </row>
      </sheetData>
      <sheetData sheetId="3">
        <row r="6">
          <cell r="G6" t="str">
            <v>Yes</v>
          </cell>
        </row>
        <row r="23">
          <cell r="J23">
            <v>0</v>
          </cell>
        </row>
        <row r="24">
          <cell r="K24">
            <v>0</v>
          </cell>
        </row>
      </sheetData>
      <sheetData sheetId="4">
        <row r="3">
          <cell r="C3">
            <v>12.5</v>
          </cell>
          <cell r="D3">
            <v>0.061</v>
          </cell>
        </row>
        <row r="24">
          <cell r="E24">
            <v>0</v>
          </cell>
          <cell r="F24">
            <v>0</v>
          </cell>
          <cell r="L24">
            <v>0</v>
          </cell>
          <cell r="M24">
            <v>0</v>
          </cell>
        </row>
        <row r="25">
          <cell r="E25">
            <v>0</v>
          </cell>
          <cell r="L25">
            <v>0</v>
          </cell>
        </row>
      </sheetData>
      <sheetData sheetId="5">
        <row r="22">
          <cell r="J22">
            <v>0</v>
          </cell>
          <cell r="K22">
            <v>0</v>
          </cell>
          <cell r="L22">
            <v>0</v>
          </cell>
          <cell r="M22">
            <v>0</v>
          </cell>
          <cell r="N22">
            <v>0</v>
          </cell>
          <cell r="O22">
            <v>0</v>
          </cell>
        </row>
      </sheetData>
      <sheetData sheetId="11">
        <row r="2">
          <cell r="A2" t="str">
            <v>Result1</v>
          </cell>
          <cell r="B2">
            <v>8000</v>
          </cell>
          <cell r="C2" t="str">
            <v>2' - F20T12 1-Lamp</v>
          </cell>
          <cell r="D2">
            <v>28</v>
          </cell>
        </row>
        <row r="3">
          <cell r="A3" t="str">
            <v>Result10</v>
          </cell>
          <cell r="B3">
            <v>8009</v>
          </cell>
          <cell r="C3" t="str">
            <v>3' - F30T12 25W 2-Lamp</v>
          </cell>
          <cell r="D3">
            <v>63</v>
          </cell>
        </row>
        <row r="4">
          <cell r="A4" t="str">
            <v>Result100</v>
          </cell>
          <cell r="B4">
            <v>905</v>
          </cell>
          <cell r="C4" t="str">
            <v>50W MH 1-Lamp</v>
          </cell>
          <cell r="D4">
            <v>67</v>
          </cell>
          <cell r="E4">
            <v>17</v>
          </cell>
        </row>
        <row r="5">
          <cell r="A5" t="str">
            <v>Result101</v>
          </cell>
          <cell r="B5">
            <v>909</v>
          </cell>
          <cell r="C5" t="str">
            <v>70W MH 1-Lamp</v>
          </cell>
          <cell r="D5">
            <v>92</v>
          </cell>
          <cell r="E5">
            <v>17</v>
          </cell>
        </row>
        <row r="6">
          <cell r="A6" t="str">
            <v>Result102</v>
          </cell>
          <cell r="B6">
            <v>913</v>
          </cell>
          <cell r="C6" t="str">
            <v>100W MH 1-Lamp</v>
          </cell>
          <cell r="D6">
            <v>129</v>
          </cell>
          <cell r="E6">
            <v>17</v>
          </cell>
        </row>
        <row r="7">
          <cell r="A7" t="str">
            <v>Result103</v>
          </cell>
          <cell r="B7">
            <v>968</v>
          </cell>
          <cell r="C7" t="str">
            <v>150W PS MH 1-Lamp</v>
          </cell>
          <cell r="D7">
            <v>175</v>
          </cell>
          <cell r="E7">
            <v>25</v>
          </cell>
        </row>
        <row r="8">
          <cell r="A8" t="str">
            <v>Result104</v>
          </cell>
          <cell r="B8">
            <v>969</v>
          </cell>
          <cell r="C8" t="str">
            <v>175W PS MH 1-Lamp</v>
          </cell>
          <cell r="D8">
            <v>208</v>
          </cell>
          <cell r="E8">
            <v>25</v>
          </cell>
        </row>
        <row r="9">
          <cell r="A9" t="str">
            <v>Result105</v>
          </cell>
          <cell r="B9">
            <v>971</v>
          </cell>
          <cell r="C9" t="str">
            <v>200W PS MH 1-Lamp</v>
          </cell>
          <cell r="D9">
            <v>218</v>
          </cell>
          <cell r="E9">
            <v>40</v>
          </cell>
        </row>
        <row r="10">
          <cell r="A10" t="str">
            <v>Result106</v>
          </cell>
          <cell r="B10">
            <v>973</v>
          </cell>
          <cell r="C10" t="str">
            <v>250W PS MH 1-Lamp</v>
          </cell>
          <cell r="D10">
            <v>288</v>
          </cell>
          <cell r="E10">
            <v>40</v>
          </cell>
        </row>
        <row r="11">
          <cell r="A11" t="str">
            <v>Result107</v>
          </cell>
          <cell r="B11">
            <v>975</v>
          </cell>
          <cell r="C11" t="str">
            <v>320W PS MH 1-Lamp</v>
          </cell>
          <cell r="D11">
            <v>365</v>
          </cell>
          <cell r="E11">
            <v>55</v>
          </cell>
        </row>
        <row r="12">
          <cell r="A12" t="str">
            <v>Result108</v>
          </cell>
          <cell r="B12">
            <v>977</v>
          </cell>
          <cell r="C12" t="str">
            <v>350W PS MH 1-Lamp</v>
          </cell>
          <cell r="D12">
            <v>395</v>
          </cell>
          <cell r="E12">
            <v>55</v>
          </cell>
        </row>
        <row r="13">
          <cell r="A13" t="str">
            <v>Result109</v>
          </cell>
          <cell r="B13">
            <v>947</v>
          </cell>
          <cell r="C13" t="str">
            <v>750W PS MH 1-Lamp</v>
          </cell>
          <cell r="D13">
            <v>840</v>
          </cell>
          <cell r="E13">
            <v>65</v>
          </cell>
        </row>
        <row r="14">
          <cell r="A14" t="str">
            <v>Result11</v>
          </cell>
          <cell r="B14">
            <v>8010</v>
          </cell>
          <cell r="C14" t="str">
            <v>3' - F30T12 25W 3-Lamp</v>
          </cell>
          <cell r="D14">
            <v>103</v>
          </cell>
        </row>
        <row r="15">
          <cell r="A15" t="str">
            <v>Result110</v>
          </cell>
          <cell r="B15">
            <v>951</v>
          </cell>
          <cell r="C15" t="str">
            <v>360W MH Lamp-only w/ferro elect. Capacitor</v>
          </cell>
          <cell r="D15">
            <v>420</v>
          </cell>
          <cell r="E15">
            <v>10</v>
          </cell>
        </row>
        <row r="16">
          <cell r="A16" t="str">
            <v>Result111</v>
          </cell>
          <cell r="B16">
            <v>900</v>
          </cell>
          <cell r="C16" t="str">
            <v>32W MH 1-Lamp</v>
          </cell>
          <cell r="D16">
            <v>41</v>
          </cell>
          <cell r="E16">
            <v>7.5</v>
          </cell>
        </row>
        <row r="17">
          <cell r="A17" t="str">
            <v>Result112</v>
          </cell>
          <cell r="B17">
            <v>904</v>
          </cell>
          <cell r="C17" t="str">
            <v>50W MH 1-Lamp</v>
          </cell>
          <cell r="D17">
            <v>67</v>
          </cell>
          <cell r="E17">
            <v>7.5</v>
          </cell>
        </row>
        <row r="18">
          <cell r="A18" t="str">
            <v>Result113</v>
          </cell>
          <cell r="B18">
            <v>908</v>
          </cell>
          <cell r="C18" t="str">
            <v>70W MH 1-Lamp</v>
          </cell>
          <cell r="D18">
            <v>92</v>
          </cell>
          <cell r="E18">
            <v>7.5</v>
          </cell>
        </row>
        <row r="19">
          <cell r="A19" t="str">
            <v>Result114</v>
          </cell>
          <cell r="B19">
            <v>912</v>
          </cell>
          <cell r="C19" t="str">
            <v>100W MH 1-Lamp</v>
          </cell>
          <cell r="D19">
            <v>129</v>
          </cell>
          <cell r="E19">
            <v>7.5</v>
          </cell>
        </row>
        <row r="20">
          <cell r="A20" t="str">
            <v>Result115</v>
          </cell>
          <cell r="B20">
            <v>916</v>
          </cell>
          <cell r="C20" t="str">
            <v>150W PS MH 1-Lamp</v>
          </cell>
          <cell r="D20">
            <v>175</v>
          </cell>
          <cell r="E20">
            <v>6</v>
          </cell>
        </row>
        <row r="21">
          <cell r="A21" t="str">
            <v>Result116</v>
          </cell>
          <cell r="B21">
            <v>970</v>
          </cell>
          <cell r="C21" t="str">
            <v>175W PS MH 1-Lamp</v>
          </cell>
          <cell r="D21">
            <v>208</v>
          </cell>
          <cell r="E21">
            <v>6</v>
          </cell>
        </row>
        <row r="22">
          <cell r="A22" t="str">
            <v>Result117</v>
          </cell>
          <cell r="B22">
            <v>972</v>
          </cell>
          <cell r="C22" t="str">
            <v>200W PS MH 1-Lamp</v>
          </cell>
          <cell r="D22">
            <v>218</v>
          </cell>
          <cell r="E22">
            <v>8</v>
          </cell>
        </row>
        <row r="23">
          <cell r="A23" t="str">
            <v>Result118</v>
          </cell>
          <cell r="B23">
            <v>974</v>
          </cell>
          <cell r="C23" t="str">
            <v>250W PS MH 1-Lamp</v>
          </cell>
          <cell r="D23">
            <v>288</v>
          </cell>
          <cell r="E23">
            <v>8</v>
          </cell>
        </row>
        <row r="24">
          <cell r="A24" t="str">
            <v>Result119</v>
          </cell>
          <cell r="B24">
            <v>976</v>
          </cell>
          <cell r="C24" t="str">
            <v>320W PS MH 1-Lamp</v>
          </cell>
          <cell r="D24">
            <v>365</v>
          </cell>
          <cell r="E24">
            <v>12</v>
          </cell>
        </row>
        <row r="25">
          <cell r="A25" t="str">
            <v>Result12</v>
          </cell>
          <cell r="B25">
            <v>8011</v>
          </cell>
          <cell r="C25" t="str">
            <v>3' - F30T12 25W 4-Lamp</v>
          </cell>
          <cell r="D25">
            <v>125</v>
          </cell>
        </row>
        <row r="26">
          <cell r="A26" t="str">
            <v>Result120</v>
          </cell>
          <cell r="B26">
            <v>978</v>
          </cell>
          <cell r="C26" t="str">
            <v>350W PS MH 1-Lamp</v>
          </cell>
          <cell r="D26">
            <v>395</v>
          </cell>
          <cell r="E26">
            <v>12</v>
          </cell>
        </row>
        <row r="27">
          <cell r="A27" t="str">
            <v>Result121</v>
          </cell>
          <cell r="B27">
            <v>946</v>
          </cell>
          <cell r="C27" t="str">
            <v>750W PS MH 1-Lamp</v>
          </cell>
          <cell r="D27">
            <v>840</v>
          </cell>
          <cell r="E27">
            <v>15</v>
          </cell>
        </row>
        <row r="28">
          <cell r="A28" t="str">
            <v>Result122</v>
          </cell>
          <cell r="B28">
            <v>950</v>
          </cell>
          <cell r="C28" t="str">
            <v>360W MH Lamp-only w/ferro elect. Capacitor</v>
          </cell>
          <cell r="D28">
            <v>420</v>
          </cell>
          <cell r="E28">
            <v>5</v>
          </cell>
        </row>
        <row r="29">
          <cell r="A29" t="str">
            <v>Result123</v>
          </cell>
          <cell r="B29">
            <v>979</v>
          </cell>
          <cell r="C29" t="str">
            <v>400W PS MH 1-Lamp</v>
          </cell>
          <cell r="D29">
            <v>422</v>
          </cell>
          <cell r="E29">
            <v>55</v>
          </cell>
        </row>
        <row r="30">
          <cell r="A30" t="str">
            <v>Result124</v>
          </cell>
          <cell r="B30">
            <v>981</v>
          </cell>
          <cell r="C30" t="str">
            <v>400W PS MH 2-Lamp</v>
          </cell>
          <cell r="D30">
            <v>844</v>
          </cell>
          <cell r="E30">
            <v>110</v>
          </cell>
        </row>
        <row r="31">
          <cell r="A31" t="str">
            <v>Result125</v>
          </cell>
          <cell r="B31">
            <v>953</v>
          </cell>
          <cell r="C31" t="str">
            <v>875W PS MH 1-Lamp</v>
          </cell>
          <cell r="D31">
            <v>935</v>
          </cell>
          <cell r="E31">
            <v>65</v>
          </cell>
        </row>
        <row r="32">
          <cell r="A32" t="str">
            <v>Result126</v>
          </cell>
          <cell r="B32">
            <v>955</v>
          </cell>
          <cell r="C32" t="str">
            <v>875W PS MH 2-Lamp</v>
          </cell>
          <cell r="D32">
            <v>1870</v>
          </cell>
          <cell r="E32">
            <v>130</v>
          </cell>
        </row>
        <row r="33">
          <cell r="A33" t="str">
            <v>Result127</v>
          </cell>
          <cell r="B33">
            <v>957</v>
          </cell>
          <cell r="C33" t="str">
            <v>875W PS MH 3-Lamp</v>
          </cell>
          <cell r="D33">
            <v>2805</v>
          </cell>
          <cell r="E33">
            <v>195</v>
          </cell>
        </row>
        <row r="34">
          <cell r="A34" t="str">
            <v>Result128</v>
          </cell>
          <cell r="B34">
            <v>980</v>
          </cell>
          <cell r="C34" t="str">
            <v>400W PS MH 1-Lamp</v>
          </cell>
          <cell r="D34">
            <v>422</v>
          </cell>
          <cell r="E34">
            <v>12</v>
          </cell>
        </row>
        <row r="35">
          <cell r="A35" t="str">
            <v>Result129</v>
          </cell>
          <cell r="B35">
            <v>982</v>
          </cell>
          <cell r="C35" t="str">
            <v>400W PS MH 2-Lamp</v>
          </cell>
          <cell r="D35">
            <v>844</v>
          </cell>
          <cell r="E35">
            <v>24</v>
          </cell>
        </row>
        <row r="36">
          <cell r="A36" t="str">
            <v>Result13</v>
          </cell>
          <cell r="B36">
            <v>8012</v>
          </cell>
          <cell r="C36" t="str">
            <v>4' - F40T12 40W 1-Lamp</v>
          </cell>
          <cell r="D36">
            <v>46</v>
          </cell>
        </row>
        <row r="37">
          <cell r="A37" t="str">
            <v>Result130</v>
          </cell>
          <cell r="B37">
            <v>952</v>
          </cell>
          <cell r="C37" t="str">
            <v>875W PS MH 1-Lamp</v>
          </cell>
          <cell r="D37">
            <v>935</v>
          </cell>
          <cell r="E37">
            <v>15</v>
          </cell>
        </row>
        <row r="38">
          <cell r="A38" t="str">
            <v>Result131</v>
          </cell>
          <cell r="B38">
            <v>954</v>
          </cell>
          <cell r="C38" t="str">
            <v>875W PS MH 2-Lamp</v>
          </cell>
          <cell r="D38">
            <v>1870</v>
          </cell>
          <cell r="E38">
            <v>30</v>
          </cell>
        </row>
        <row r="39">
          <cell r="A39" t="str">
            <v>Result132</v>
          </cell>
          <cell r="B39">
            <v>956</v>
          </cell>
          <cell r="C39" t="str">
            <v>875W PS MH 3-Lamp</v>
          </cell>
          <cell r="D39">
            <v>2805</v>
          </cell>
          <cell r="E39">
            <v>45</v>
          </cell>
        </row>
        <row r="40">
          <cell r="A40" t="str">
            <v>Result133</v>
          </cell>
          <cell r="B40">
            <v>959</v>
          </cell>
          <cell r="C40" t="str">
            <v>25W Integrated Ceramic MH Lamp</v>
          </cell>
          <cell r="D40">
            <v>25</v>
          </cell>
          <cell r="E40">
            <v>20</v>
          </cell>
        </row>
        <row r="41">
          <cell r="A41" t="str">
            <v>Result134</v>
          </cell>
          <cell r="B41">
            <v>961</v>
          </cell>
          <cell r="C41" t="str">
            <v>150W or less Ceramic MH Fixture</v>
          </cell>
          <cell r="D41">
            <v>100</v>
          </cell>
          <cell r="E41">
            <v>50</v>
          </cell>
        </row>
        <row r="42">
          <cell r="A42" t="str">
            <v>Result135</v>
          </cell>
          <cell r="B42">
            <v>963</v>
          </cell>
          <cell r="C42" t="str">
            <v>151-250W Ceramic MH Fixture</v>
          </cell>
          <cell r="D42">
            <v>200</v>
          </cell>
          <cell r="E42">
            <v>45</v>
          </cell>
        </row>
        <row r="43">
          <cell r="A43" t="str">
            <v>Result136</v>
          </cell>
          <cell r="B43">
            <v>965</v>
          </cell>
          <cell r="C43" t="str">
            <v>250W or greater Ceramic MH Fixture</v>
          </cell>
          <cell r="D43">
            <v>300</v>
          </cell>
          <cell r="E43">
            <v>60</v>
          </cell>
        </row>
        <row r="44">
          <cell r="A44" t="str">
            <v>Result137</v>
          </cell>
          <cell r="B44">
            <v>958</v>
          </cell>
          <cell r="C44" t="str">
            <v>25W Integrated Ceramic MH Lamp</v>
          </cell>
          <cell r="D44">
            <v>25</v>
          </cell>
          <cell r="E44">
            <v>8</v>
          </cell>
        </row>
        <row r="45">
          <cell r="A45" t="str">
            <v>Result138</v>
          </cell>
          <cell r="B45">
            <v>960</v>
          </cell>
          <cell r="C45" t="str">
            <v>150W or less Ceramic MH Fixture</v>
          </cell>
          <cell r="D45">
            <v>100</v>
          </cell>
          <cell r="E45">
            <v>20</v>
          </cell>
        </row>
        <row r="46">
          <cell r="A46" t="str">
            <v>Result139</v>
          </cell>
          <cell r="B46">
            <v>962</v>
          </cell>
          <cell r="C46" t="str">
            <v>151-250W Ceramic MH Fixture</v>
          </cell>
          <cell r="D46">
            <v>200</v>
          </cell>
          <cell r="E46">
            <v>10</v>
          </cell>
        </row>
        <row r="47">
          <cell r="A47" t="str">
            <v>Result14</v>
          </cell>
          <cell r="B47">
            <v>8013</v>
          </cell>
          <cell r="C47" t="str">
            <v>4' - F40T12 40W 2-Lamp</v>
          </cell>
          <cell r="D47">
            <v>81</v>
          </cell>
        </row>
        <row r="48">
          <cell r="A48" t="str">
            <v>Result140</v>
          </cell>
          <cell r="B48">
            <v>964</v>
          </cell>
          <cell r="C48" t="str">
            <v>250W or greater Ceramic MH Fixture</v>
          </cell>
          <cell r="D48">
            <v>300</v>
          </cell>
          <cell r="E48">
            <v>15</v>
          </cell>
        </row>
        <row r="49">
          <cell r="A49" t="str">
            <v>Result141</v>
          </cell>
          <cell r="B49">
            <v>903</v>
          </cell>
          <cell r="C49" t="str">
            <v>35W HPS 1-Lamp</v>
          </cell>
          <cell r="D49">
            <v>41</v>
          </cell>
          <cell r="E49">
            <v>17</v>
          </cell>
        </row>
        <row r="50">
          <cell r="A50" t="str">
            <v>Result142</v>
          </cell>
          <cell r="B50">
            <v>907</v>
          </cell>
          <cell r="C50" t="str">
            <v>40W HPS 1-Lamp</v>
          </cell>
          <cell r="D50">
            <v>67</v>
          </cell>
          <cell r="E50">
            <v>17</v>
          </cell>
        </row>
        <row r="51">
          <cell r="A51" t="str">
            <v>Result143</v>
          </cell>
          <cell r="B51">
            <v>911</v>
          </cell>
          <cell r="C51" t="str">
            <v>70W HPS 1-Lamp</v>
          </cell>
          <cell r="D51">
            <v>92</v>
          </cell>
          <cell r="E51">
            <v>17</v>
          </cell>
        </row>
        <row r="52">
          <cell r="A52" t="str">
            <v>Result144</v>
          </cell>
          <cell r="B52">
            <v>915</v>
          </cell>
          <cell r="C52" t="str">
            <v>100W HPS 1-Lamp</v>
          </cell>
          <cell r="D52">
            <v>129</v>
          </cell>
          <cell r="E52">
            <v>17</v>
          </cell>
        </row>
        <row r="53">
          <cell r="A53" t="str">
            <v>Result145</v>
          </cell>
          <cell r="B53">
            <v>919</v>
          </cell>
          <cell r="C53" t="str">
            <v>150W HPS 1-Lamp</v>
          </cell>
          <cell r="D53">
            <v>187</v>
          </cell>
          <cell r="E53">
            <v>17</v>
          </cell>
        </row>
        <row r="54">
          <cell r="A54" t="str">
            <v>Result145</v>
          </cell>
          <cell r="B54">
            <v>925</v>
          </cell>
          <cell r="C54" t="str">
            <v>200W HPS 1-Lamp</v>
          </cell>
          <cell r="D54">
            <v>240</v>
          </cell>
          <cell r="E54">
            <v>28</v>
          </cell>
        </row>
        <row r="55">
          <cell r="A55" t="str">
            <v>Result146</v>
          </cell>
          <cell r="B55">
            <v>929</v>
          </cell>
          <cell r="C55" t="str">
            <v>250W HPS 1-Lamp</v>
          </cell>
          <cell r="D55">
            <v>295</v>
          </cell>
          <cell r="E55">
            <v>28</v>
          </cell>
        </row>
        <row r="56">
          <cell r="A56" t="str">
            <v>Result147</v>
          </cell>
          <cell r="B56">
            <v>931</v>
          </cell>
          <cell r="C56" t="str">
            <v>310W HPS 1-Lamp</v>
          </cell>
          <cell r="D56">
            <v>365</v>
          </cell>
          <cell r="E56">
            <v>45</v>
          </cell>
        </row>
        <row r="57">
          <cell r="A57" t="str">
            <v>Result148</v>
          </cell>
          <cell r="B57">
            <v>939</v>
          </cell>
          <cell r="C57" t="str">
            <v>400W HPS 1-Lamp</v>
          </cell>
          <cell r="D57">
            <v>460</v>
          </cell>
          <cell r="E57">
            <v>45</v>
          </cell>
        </row>
        <row r="58">
          <cell r="A58" t="str">
            <v>Result149</v>
          </cell>
          <cell r="B58">
            <v>945</v>
          </cell>
          <cell r="C58" t="str">
            <v>600W HPS 1-Lamp</v>
          </cell>
          <cell r="D58">
            <v>665</v>
          </cell>
          <cell r="E58">
            <v>45</v>
          </cell>
        </row>
        <row r="59">
          <cell r="A59" t="str">
            <v>Result15</v>
          </cell>
          <cell r="B59">
            <v>8014</v>
          </cell>
          <cell r="C59" t="str">
            <v>4' - F40T12 40W 3-Lamp</v>
          </cell>
          <cell r="D59">
            <v>123</v>
          </cell>
        </row>
        <row r="60">
          <cell r="A60" t="str">
            <v>Result150</v>
          </cell>
          <cell r="B60">
            <v>949</v>
          </cell>
          <cell r="C60" t="str">
            <v>750W HPS 1-Lamp</v>
          </cell>
          <cell r="D60">
            <v>835</v>
          </cell>
          <cell r="E60">
            <v>45</v>
          </cell>
        </row>
        <row r="61">
          <cell r="A61" t="str">
            <v>Result151</v>
          </cell>
          <cell r="B61">
            <v>902</v>
          </cell>
          <cell r="C61" t="str">
            <v>35W HPS 1-Lamp</v>
          </cell>
          <cell r="D61">
            <v>41</v>
          </cell>
          <cell r="E61">
            <v>7.5</v>
          </cell>
        </row>
        <row r="62">
          <cell r="A62" t="str">
            <v>Result152</v>
          </cell>
          <cell r="B62">
            <v>906</v>
          </cell>
          <cell r="C62" t="str">
            <v>40W HPS 1-Lamp</v>
          </cell>
          <cell r="D62">
            <v>67</v>
          </cell>
          <cell r="E62">
            <v>7.5</v>
          </cell>
        </row>
        <row r="63">
          <cell r="A63" t="str">
            <v>Result153</v>
          </cell>
          <cell r="B63">
            <v>910</v>
          </cell>
          <cell r="C63" t="str">
            <v>70W HPS 1-Lamp</v>
          </cell>
          <cell r="D63">
            <v>92</v>
          </cell>
          <cell r="E63">
            <v>7.5</v>
          </cell>
        </row>
        <row r="64">
          <cell r="A64" t="str">
            <v>Result154</v>
          </cell>
          <cell r="B64">
            <v>914</v>
          </cell>
          <cell r="C64" t="str">
            <v>100W HPS 1-Lamp</v>
          </cell>
          <cell r="D64">
            <v>129</v>
          </cell>
          <cell r="E64">
            <v>7.5</v>
          </cell>
        </row>
        <row r="65">
          <cell r="A65" t="str">
            <v>Result155</v>
          </cell>
          <cell r="B65">
            <v>918</v>
          </cell>
          <cell r="C65" t="str">
            <v>150W HPS 1-Lamp</v>
          </cell>
          <cell r="D65">
            <v>187</v>
          </cell>
          <cell r="E65">
            <v>7.5</v>
          </cell>
        </row>
        <row r="66">
          <cell r="A66" t="str">
            <v>Result156</v>
          </cell>
          <cell r="B66">
            <v>924</v>
          </cell>
          <cell r="C66" t="str">
            <v>200W HPS 1-Lamp</v>
          </cell>
          <cell r="D66">
            <v>240</v>
          </cell>
          <cell r="E66">
            <v>15</v>
          </cell>
        </row>
        <row r="67">
          <cell r="A67" t="str">
            <v>Result157</v>
          </cell>
          <cell r="B67">
            <v>928</v>
          </cell>
          <cell r="C67" t="str">
            <v>250W HPS 1-Lamp</v>
          </cell>
          <cell r="D67">
            <v>295</v>
          </cell>
          <cell r="E67">
            <v>15</v>
          </cell>
        </row>
        <row r="68">
          <cell r="A68" t="str">
            <v>Result158</v>
          </cell>
          <cell r="B68">
            <v>930</v>
          </cell>
          <cell r="C68" t="str">
            <v>310W HPS 1-Lamp</v>
          </cell>
          <cell r="D68">
            <v>365</v>
          </cell>
          <cell r="E68">
            <v>15</v>
          </cell>
        </row>
        <row r="69">
          <cell r="A69" t="str">
            <v>Result159</v>
          </cell>
          <cell r="B69">
            <v>938</v>
          </cell>
          <cell r="C69" t="str">
            <v>400W HPS 1-Lamp</v>
          </cell>
          <cell r="D69">
            <v>460</v>
          </cell>
          <cell r="E69">
            <v>15</v>
          </cell>
        </row>
        <row r="70">
          <cell r="A70" t="str">
            <v>Result16</v>
          </cell>
          <cell r="B70">
            <v>8015</v>
          </cell>
          <cell r="C70" t="str">
            <v>4' - F40T12 40W 4-Lamp</v>
          </cell>
          <cell r="D70">
            <v>161</v>
          </cell>
        </row>
        <row r="71">
          <cell r="A71" t="str">
            <v>Result160</v>
          </cell>
          <cell r="B71">
            <v>944</v>
          </cell>
          <cell r="C71" t="str">
            <v>600W HPS 1-Lamp</v>
          </cell>
          <cell r="D71">
            <v>665</v>
          </cell>
          <cell r="E71">
            <v>15</v>
          </cell>
        </row>
        <row r="72">
          <cell r="A72" t="str">
            <v>Result161</v>
          </cell>
          <cell r="B72">
            <v>948</v>
          </cell>
          <cell r="C72" t="str">
            <v>750W HPS 1-Lamp</v>
          </cell>
          <cell r="D72">
            <v>835</v>
          </cell>
          <cell r="E72">
            <v>15</v>
          </cell>
        </row>
        <row r="73">
          <cell r="A73" t="str">
            <v>Result162</v>
          </cell>
          <cell r="B73">
            <v>1011</v>
          </cell>
          <cell r="C73" t="str">
            <v>3-10W CFL</v>
          </cell>
          <cell r="D73">
            <v>6</v>
          </cell>
          <cell r="E73">
            <v>6</v>
          </cell>
        </row>
        <row r="74">
          <cell r="A74" t="str">
            <v>Result163</v>
          </cell>
          <cell r="B74">
            <v>1025</v>
          </cell>
          <cell r="C74" t="str">
            <v>11-15W CFL</v>
          </cell>
          <cell r="D74">
            <v>13</v>
          </cell>
          <cell r="E74">
            <v>6</v>
          </cell>
        </row>
        <row r="75">
          <cell r="A75" t="str">
            <v>Result164</v>
          </cell>
          <cell r="B75">
            <v>1035</v>
          </cell>
          <cell r="C75" t="str">
            <v>16-20W CFL</v>
          </cell>
          <cell r="D75">
            <v>18</v>
          </cell>
          <cell r="E75">
            <v>6</v>
          </cell>
        </row>
        <row r="76">
          <cell r="A76" t="str">
            <v>Result165</v>
          </cell>
          <cell r="B76">
            <v>1045</v>
          </cell>
          <cell r="C76" t="str">
            <v>21-25W CFL</v>
          </cell>
          <cell r="D76">
            <v>23</v>
          </cell>
          <cell r="E76">
            <v>9</v>
          </cell>
        </row>
        <row r="77">
          <cell r="A77" t="str">
            <v>Result166</v>
          </cell>
          <cell r="B77">
            <v>1055</v>
          </cell>
          <cell r="C77" t="str">
            <v>26-30W CFL</v>
          </cell>
          <cell r="D77">
            <v>28</v>
          </cell>
          <cell r="E77">
            <v>9</v>
          </cell>
        </row>
        <row r="78">
          <cell r="A78" t="str">
            <v>Result167</v>
          </cell>
          <cell r="B78">
            <v>1065</v>
          </cell>
          <cell r="C78" t="str">
            <v>31-35W CFL</v>
          </cell>
          <cell r="D78">
            <v>33</v>
          </cell>
          <cell r="E78">
            <v>9</v>
          </cell>
        </row>
        <row r="79">
          <cell r="A79" t="str">
            <v>Result168</v>
          </cell>
          <cell r="B79">
            <v>1075</v>
          </cell>
          <cell r="C79" t="str">
            <v>36-40W CFL</v>
          </cell>
          <cell r="D79">
            <v>38</v>
          </cell>
          <cell r="E79">
            <v>12</v>
          </cell>
        </row>
        <row r="80">
          <cell r="A80" t="str">
            <v>Result169</v>
          </cell>
          <cell r="B80">
            <v>1085</v>
          </cell>
          <cell r="C80" t="str">
            <v>41-45W CFL</v>
          </cell>
          <cell r="D80">
            <v>43</v>
          </cell>
          <cell r="E80">
            <v>12</v>
          </cell>
        </row>
        <row r="81">
          <cell r="A81" t="str">
            <v>Result17</v>
          </cell>
          <cell r="B81">
            <v>8016</v>
          </cell>
          <cell r="C81" t="str">
            <v>4' - F40T12 34W 1-Lamp</v>
          </cell>
          <cell r="D81">
            <v>42</v>
          </cell>
        </row>
        <row r="82">
          <cell r="A82" t="str">
            <v>Result170</v>
          </cell>
          <cell r="B82">
            <v>1095</v>
          </cell>
          <cell r="C82" t="str">
            <v>46-50W CFL</v>
          </cell>
          <cell r="D82">
            <v>48</v>
          </cell>
          <cell r="E82">
            <v>12</v>
          </cell>
        </row>
        <row r="83">
          <cell r="A83" t="str">
            <v>Result171</v>
          </cell>
          <cell r="B83">
            <v>1105</v>
          </cell>
          <cell r="C83" t="str">
            <v>51-55W CFL</v>
          </cell>
          <cell r="D83">
            <v>53</v>
          </cell>
          <cell r="E83">
            <v>12</v>
          </cell>
        </row>
        <row r="84">
          <cell r="A84" t="str">
            <v>Result172</v>
          </cell>
          <cell r="B84">
            <v>1231</v>
          </cell>
          <cell r="C84" t="str">
            <v>56-60W CFL</v>
          </cell>
          <cell r="D84">
            <v>58</v>
          </cell>
          <cell r="E84">
            <v>18.5</v>
          </cell>
        </row>
        <row r="85">
          <cell r="A85" t="str">
            <v>Result173</v>
          </cell>
          <cell r="B85">
            <v>1233</v>
          </cell>
          <cell r="C85" t="str">
            <v>61-65W CFL</v>
          </cell>
          <cell r="D85">
            <v>63</v>
          </cell>
          <cell r="E85">
            <v>18.5</v>
          </cell>
        </row>
        <row r="86">
          <cell r="A86" t="str">
            <v>Result174</v>
          </cell>
          <cell r="B86">
            <v>1235</v>
          </cell>
          <cell r="C86" t="str">
            <v>66-70W CFL</v>
          </cell>
          <cell r="D86">
            <v>68</v>
          </cell>
          <cell r="E86">
            <v>18.5</v>
          </cell>
        </row>
        <row r="87">
          <cell r="A87" t="str">
            <v>Result175</v>
          </cell>
          <cell r="B87">
            <v>1237</v>
          </cell>
          <cell r="C87" t="str">
            <v>71-75W CFL</v>
          </cell>
          <cell r="D87">
            <v>73</v>
          </cell>
          <cell r="E87">
            <v>21.5</v>
          </cell>
        </row>
        <row r="88">
          <cell r="A88" t="str">
            <v>Result176</v>
          </cell>
          <cell r="B88">
            <v>1239</v>
          </cell>
          <cell r="C88" t="str">
            <v>76-80W CFL</v>
          </cell>
          <cell r="D88">
            <v>78</v>
          </cell>
          <cell r="E88">
            <v>21.5</v>
          </cell>
        </row>
        <row r="89">
          <cell r="A89" t="str">
            <v>Result177</v>
          </cell>
          <cell r="B89">
            <v>1241</v>
          </cell>
          <cell r="C89" t="str">
            <v>81-85W CFL</v>
          </cell>
          <cell r="D89">
            <v>83</v>
          </cell>
          <cell r="E89">
            <v>21.5</v>
          </cell>
        </row>
        <row r="90">
          <cell r="A90" t="str">
            <v>Result178</v>
          </cell>
          <cell r="B90">
            <v>1243</v>
          </cell>
          <cell r="C90" t="str">
            <v>86-90W CFL</v>
          </cell>
          <cell r="D90">
            <v>88</v>
          </cell>
          <cell r="E90">
            <v>25</v>
          </cell>
        </row>
        <row r="91">
          <cell r="A91" t="str">
            <v>Result179</v>
          </cell>
          <cell r="B91">
            <v>1245</v>
          </cell>
          <cell r="C91" t="str">
            <v>91-95W CFL</v>
          </cell>
          <cell r="D91">
            <v>93</v>
          </cell>
          <cell r="E91">
            <v>25</v>
          </cell>
        </row>
        <row r="92">
          <cell r="A92" t="str">
            <v>Result18</v>
          </cell>
          <cell r="B92">
            <v>8017</v>
          </cell>
          <cell r="C92" t="str">
            <v>4' - F40T12 34W 2-Lamp</v>
          </cell>
          <cell r="D92">
            <v>69</v>
          </cell>
        </row>
        <row r="93">
          <cell r="A93" t="str">
            <v>Result180</v>
          </cell>
          <cell r="B93">
            <v>1247</v>
          </cell>
          <cell r="C93" t="str">
            <v>96-100W CFL</v>
          </cell>
          <cell r="D93">
            <v>98</v>
          </cell>
          <cell r="E93">
            <v>25</v>
          </cell>
        </row>
        <row r="94">
          <cell r="A94" t="str">
            <v>Result181</v>
          </cell>
          <cell r="B94">
            <v>1249</v>
          </cell>
          <cell r="C94" t="str">
            <v>96-100W CFL</v>
          </cell>
          <cell r="D94">
            <v>103</v>
          </cell>
          <cell r="E94">
            <v>25</v>
          </cell>
        </row>
        <row r="95">
          <cell r="A95" t="str">
            <v>Result182</v>
          </cell>
          <cell r="B95">
            <v>1251</v>
          </cell>
          <cell r="C95" t="str">
            <v>96-100W CFL</v>
          </cell>
          <cell r="D95">
            <v>108</v>
          </cell>
          <cell r="E95">
            <v>25</v>
          </cell>
        </row>
        <row r="96">
          <cell r="A96" t="str">
            <v>Result183</v>
          </cell>
          <cell r="B96">
            <v>1010</v>
          </cell>
          <cell r="C96" t="str">
            <v>3-10W CFL</v>
          </cell>
          <cell r="D96">
            <v>6</v>
          </cell>
          <cell r="E96">
            <v>3</v>
          </cell>
        </row>
        <row r="97">
          <cell r="A97" t="str">
            <v>Result184</v>
          </cell>
          <cell r="B97">
            <v>1024</v>
          </cell>
          <cell r="C97" t="str">
            <v>11-15W CFL</v>
          </cell>
          <cell r="D97">
            <v>13</v>
          </cell>
          <cell r="E97">
            <v>3</v>
          </cell>
        </row>
        <row r="98">
          <cell r="A98" t="str">
            <v>Result185</v>
          </cell>
          <cell r="B98">
            <v>1034</v>
          </cell>
          <cell r="C98" t="str">
            <v>16-20W CFL</v>
          </cell>
          <cell r="D98">
            <v>18</v>
          </cell>
          <cell r="E98">
            <v>3</v>
          </cell>
        </row>
        <row r="99">
          <cell r="A99" t="str">
            <v>Result186</v>
          </cell>
          <cell r="B99">
            <v>1044</v>
          </cell>
          <cell r="C99" t="str">
            <v>21-25W CFL</v>
          </cell>
          <cell r="D99">
            <v>23</v>
          </cell>
          <cell r="E99">
            <v>4.5</v>
          </cell>
        </row>
        <row r="100">
          <cell r="A100" t="str">
            <v>Result187</v>
          </cell>
          <cell r="B100">
            <v>1054</v>
          </cell>
          <cell r="C100" t="str">
            <v>26-30W CFL</v>
          </cell>
          <cell r="D100">
            <v>28</v>
          </cell>
          <cell r="E100">
            <v>4.5</v>
          </cell>
        </row>
        <row r="101">
          <cell r="A101" t="str">
            <v>Result188</v>
          </cell>
          <cell r="B101">
            <v>1064</v>
          </cell>
          <cell r="C101" t="str">
            <v>31-35W CFL</v>
          </cell>
          <cell r="D101">
            <v>33</v>
          </cell>
          <cell r="E101">
            <v>4.5</v>
          </cell>
        </row>
        <row r="102">
          <cell r="A102" t="str">
            <v>Result189</v>
          </cell>
          <cell r="B102">
            <v>1074</v>
          </cell>
          <cell r="C102" t="str">
            <v>36-40W CFL</v>
          </cell>
          <cell r="D102">
            <v>38</v>
          </cell>
          <cell r="E102">
            <v>6</v>
          </cell>
        </row>
        <row r="103">
          <cell r="A103" t="str">
            <v>Result19</v>
          </cell>
          <cell r="B103">
            <v>8018</v>
          </cell>
          <cell r="C103" t="str">
            <v>4' - F40T12 34W 3-Lamp</v>
          </cell>
          <cell r="D103">
            <v>108</v>
          </cell>
        </row>
        <row r="104">
          <cell r="A104" t="str">
            <v>Result190</v>
          </cell>
          <cell r="B104">
            <v>1084</v>
          </cell>
          <cell r="C104" t="str">
            <v>41-45W CFL</v>
          </cell>
          <cell r="D104">
            <v>43</v>
          </cell>
          <cell r="E104">
            <v>6</v>
          </cell>
        </row>
        <row r="105">
          <cell r="A105" t="str">
            <v>Result191</v>
          </cell>
          <cell r="B105">
            <v>1094</v>
          </cell>
          <cell r="C105" t="str">
            <v>46-50W CFL</v>
          </cell>
          <cell r="D105">
            <v>48</v>
          </cell>
          <cell r="E105">
            <v>6</v>
          </cell>
        </row>
        <row r="106">
          <cell r="A106" t="str">
            <v>Result192</v>
          </cell>
          <cell r="B106">
            <v>1104</v>
          </cell>
          <cell r="C106" t="str">
            <v>51-55W CFL</v>
          </cell>
          <cell r="D106">
            <v>53</v>
          </cell>
          <cell r="E106">
            <v>6</v>
          </cell>
        </row>
        <row r="107">
          <cell r="A107" t="str">
            <v>Result193</v>
          </cell>
          <cell r="B107">
            <v>1230</v>
          </cell>
          <cell r="C107" t="str">
            <v>56-60W CFL</v>
          </cell>
          <cell r="D107">
            <v>58</v>
          </cell>
          <cell r="E107">
            <v>9.25</v>
          </cell>
        </row>
        <row r="108">
          <cell r="A108" t="str">
            <v>Result194</v>
          </cell>
          <cell r="B108">
            <v>1232</v>
          </cell>
          <cell r="C108" t="str">
            <v>61-65W CFL</v>
          </cell>
          <cell r="D108">
            <v>63</v>
          </cell>
          <cell r="E108">
            <v>9.25</v>
          </cell>
        </row>
        <row r="109">
          <cell r="A109" t="str">
            <v>Result195</v>
          </cell>
          <cell r="B109">
            <v>1234</v>
          </cell>
          <cell r="C109" t="str">
            <v>66-70W CFL</v>
          </cell>
          <cell r="D109">
            <v>68</v>
          </cell>
          <cell r="E109">
            <v>9.25</v>
          </cell>
        </row>
        <row r="110">
          <cell r="A110" t="str">
            <v>Result196</v>
          </cell>
          <cell r="B110">
            <v>1236</v>
          </cell>
          <cell r="C110" t="str">
            <v>71-75W CFL</v>
          </cell>
          <cell r="D110">
            <v>73</v>
          </cell>
          <cell r="E110">
            <v>10.25</v>
          </cell>
        </row>
        <row r="111">
          <cell r="A111" t="str">
            <v>Result197</v>
          </cell>
          <cell r="B111">
            <v>1238</v>
          </cell>
          <cell r="C111" t="str">
            <v>76-80W CFL</v>
          </cell>
          <cell r="D111">
            <v>78</v>
          </cell>
          <cell r="E111">
            <v>10.25</v>
          </cell>
        </row>
        <row r="112">
          <cell r="A112" t="str">
            <v>Result198</v>
          </cell>
          <cell r="B112">
            <v>1240</v>
          </cell>
          <cell r="C112" t="str">
            <v>81-85W CFL</v>
          </cell>
          <cell r="D112">
            <v>83</v>
          </cell>
          <cell r="E112">
            <v>10.25</v>
          </cell>
        </row>
        <row r="113">
          <cell r="A113" t="str">
            <v>Result199</v>
          </cell>
          <cell r="B113">
            <v>1242</v>
          </cell>
          <cell r="C113" t="str">
            <v>86-90W CFL</v>
          </cell>
          <cell r="D113">
            <v>88</v>
          </cell>
          <cell r="E113">
            <v>12.5</v>
          </cell>
        </row>
        <row r="114">
          <cell r="A114" t="str">
            <v>Result2</v>
          </cell>
          <cell r="B114">
            <v>8001</v>
          </cell>
          <cell r="C114" t="str">
            <v>2' - F20T12 2-Lamp</v>
          </cell>
          <cell r="D114">
            <v>46</v>
          </cell>
        </row>
        <row r="115">
          <cell r="A115" t="str">
            <v>Result20</v>
          </cell>
          <cell r="B115">
            <v>8019</v>
          </cell>
          <cell r="C115" t="str">
            <v>4' - F40T12 34W 4-Lamp</v>
          </cell>
          <cell r="D115">
            <v>135</v>
          </cell>
        </row>
        <row r="116">
          <cell r="A116" t="str">
            <v>Result200</v>
          </cell>
          <cell r="B116">
            <v>1244</v>
          </cell>
          <cell r="C116" t="str">
            <v>91-95W CFL</v>
          </cell>
          <cell r="D116">
            <v>93</v>
          </cell>
          <cell r="E116">
            <v>12.5</v>
          </cell>
        </row>
        <row r="117">
          <cell r="A117" t="str">
            <v>Result201</v>
          </cell>
          <cell r="B117">
            <v>1246</v>
          </cell>
          <cell r="C117" t="str">
            <v>96-100W CFL</v>
          </cell>
          <cell r="D117">
            <v>98</v>
          </cell>
          <cell r="E117">
            <v>12.5</v>
          </cell>
        </row>
        <row r="118">
          <cell r="A118" t="str">
            <v>Result202</v>
          </cell>
          <cell r="B118">
            <v>1248</v>
          </cell>
          <cell r="C118" t="str">
            <v>96-100W CFL</v>
          </cell>
          <cell r="D118">
            <v>103</v>
          </cell>
          <cell r="E118">
            <v>12.5</v>
          </cell>
        </row>
        <row r="119">
          <cell r="A119" t="str">
            <v>Result203</v>
          </cell>
          <cell r="B119">
            <v>1250</v>
          </cell>
          <cell r="C119" t="str">
            <v>96-100W CFL</v>
          </cell>
          <cell r="D119">
            <v>108</v>
          </cell>
          <cell r="E119">
            <v>12.5</v>
          </cell>
        </row>
        <row r="120">
          <cell r="A120" t="str">
            <v>Result204</v>
          </cell>
          <cell r="B120">
            <v>1253</v>
          </cell>
          <cell r="C120" t="str">
            <v>3-10W CFL Hard Wire</v>
          </cell>
          <cell r="D120">
            <v>7</v>
          </cell>
          <cell r="E120">
            <v>8</v>
          </cell>
        </row>
        <row r="121">
          <cell r="A121" t="str">
            <v>Result205</v>
          </cell>
          <cell r="B121">
            <v>1255</v>
          </cell>
          <cell r="C121" t="str">
            <v>11-15W CFL Hard Wire</v>
          </cell>
          <cell r="D121">
            <v>15</v>
          </cell>
          <cell r="E121">
            <v>8</v>
          </cell>
        </row>
        <row r="122">
          <cell r="A122" t="str">
            <v>Result206</v>
          </cell>
          <cell r="B122">
            <v>1257</v>
          </cell>
          <cell r="C122" t="str">
            <v>16-20W CFL Hard Wire</v>
          </cell>
          <cell r="D122">
            <v>18</v>
          </cell>
          <cell r="E122">
            <v>18</v>
          </cell>
        </row>
        <row r="123">
          <cell r="A123" t="str">
            <v>Result207</v>
          </cell>
          <cell r="B123">
            <v>1259</v>
          </cell>
          <cell r="C123" t="str">
            <v>21-25W CFL Hard Wire</v>
          </cell>
          <cell r="D123">
            <v>24</v>
          </cell>
          <cell r="E123">
            <v>18</v>
          </cell>
        </row>
        <row r="124">
          <cell r="A124" t="str">
            <v>Result208</v>
          </cell>
          <cell r="B124">
            <v>1261</v>
          </cell>
          <cell r="C124" t="str">
            <v>26-30W CFL Hard Wire</v>
          </cell>
          <cell r="D124">
            <v>31</v>
          </cell>
          <cell r="E124">
            <v>18</v>
          </cell>
        </row>
        <row r="125">
          <cell r="A125" t="str">
            <v>Result209</v>
          </cell>
          <cell r="B125">
            <v>1263</v>
          </cell>
          <cell r="C125" t="str">
            <v>31-40W CFL Hard Wire</v>
          </cell>
          <cell r="D125">
            <v>36</v>
          </cell>
          <cell r="E125">
            <v>24</v>
          </cell>
        </row>
        <row r="126">
          <cell r="A126" t="str">
            <v>Result21</v>
          </cell>
          <cell r="B126">
            <v>8020</v>
          </cell>
          <cell r="C126" t="str">
            <v>4' - F48T12 1-Lamp</v>
          </cell>
          <cell r="D126">
            <v>55</v>
          </cell>
        </row>
        <row r="127">
          <cell r="A127" t="str">
            <v>Result210</v>
          </cell>
          <cell r="B127">
            <v>1265</v>
          </cell>
          <cell r="C127" t="str">
            <v>41-50W CFL Hard Wire</v>
          </cell>
          <cell r="D127">
            <v>48</v>
          </cell>
          <cell r="E127">
            <v>24</v>
          </cell>
        </row>
        <row r="128">
          <cell r="A128" t="str">
            <v>Result211</v>
          </cell>
          <cell r="B128">
            <v>1267</v>
          </cell>
          <cell r="C128" t="str">
            <v>51-60W CFL Hard Wire</v>
          </cell>
          <cell r="D128">
            <v>60</v>
          </cell>
          <cell r="E128">
            <v>24</v>
          </cell>
        </row>
        <row r="129">
          <cell r="A129" t="str">
            <v>Result212</v>
          </cell>
          <cell r="B129">
            <v>1003</v>
          </cell>
          <cell r="C129" t="str">
            <v>Indust Multi-CFL Fixture 3-Lamp</v>
          </cell>
          <cell r="D129">
            <v>165</v>
          </cell>
          <cell r="E129">
            <v>25</v>
          </cell>
        </row>
        <row r="130">
          <cell r="A130" t="str">
            <v>Result213</v>
          </cell>
          <cell r="B130">
            <v>1001</v>
          </cell>
          <cell r="C130" t="str">
            <v>Indust Multi-CFL Fixture 8-Lamp</v>
          </cell>
          <cell r="D130">
            <v>310</v>
          </cell>
          <cell r="E130">
            <v>25</v>
          </cell>
        </row>
        <row r="131">
          <cell r="A131" t="str">
            <v>Result214</v>
          </cell>
          <cell r="B131">
            <v>1252</v>
          </cell>
          <cell r="C131" t="str">
            <v>3-10W CFL Hard Wire</v>
          </cell>
          <cell r="D131">
            <v>7</v>
          </cell>
          <cell r="E131">
            <v>3</v>
          </cell>
        </row>
        <row r="132">
          <cell r="A132" t="str">
            <v>Result215</v>
          </cell>
          <cell r="B132">
            <v>1254</v>
          </cell>
          <cell r="C132" t="str">
            <v>11-15W CFL Hard Wire</v>
          </cell>
          <cell r="D132">
            <v>15</v>
          </cell>
          <cell r="E132">
            <v>3.75</v>
          </cell>
        </row>
        <row r="133">
          <cell r="A133" t="str">
            <v>Result216</v>
          </cell>
          <cell r="B133">
            <v>1256</v>
          </cell>
          <cell r="C133" t="str">
            <v>16-20W CFL Hard Wire</v>
          </cell>
          <cell r="D133">
            <v>18</v>
          </cell>
          <cell r="E133">
            <v>4</v>
          </cell>
        </row>
        <row r="134">
          <cell r="A134" t="str">
            <v>Result217</v>
          </cell>
          <cell r="B134">
            <v>1258</v>
          </cell>
          <cell r="C134" t="str">
            <v>21-25W CFL Hard Wire</v>
          </cell>
          <cell r="D134">
            <v>24</v>
          </cell>
          <cell r="E134">
            <v>5</v>
          </cell>
        </row>
        <row r="135">
          <cell r="A135" t="str">
            <v>Result218</v>
          </cell>
          <cell r="B135">
            <v>1260</v>
          </cell>
          <cell r="C135" t="str">
            <v>26-30W CFL Hard Wire</v>
          </cell>
          <cell r="D135">
            <v>31</v>
          </cell>
          <cell r="E135">
            <v>5</v>
          </cell>
        </row>
        <row r="136">
          <cell r="A136" t="str">
            <v>Result219</v>
          </cell>
          <cell r="B136">
            <v>1262</v>
          </cell>
          <cell r="C136" t="str">
            <v>31-40W CFL Hard Wire</v>
          </cell>
          <cell r="D136">
            <v>36</v>
          </cell>
          <cell r="E136">
            <v>8</v>
          </cell>
        </row>
        <row r="137">
          <cell r="A137" t="str">
            <v>Result22</v>
          </cell>
          <cell r="B137">
            <v>8021</v>
          </cell>
          <cell r="C137" t="str">
            <v>4' - F48T12 2-Lamp</v>
          </cell>
          <cell r="D137">
            <v>93</v>
          </cell>
        </row>
        <row r="138">
          <cell r="A138" t="str">
            <v>Result220</v>
          </cell>
          <cell r="B138">
            <v>1264</v>
          </cell>
          <cell r="C138" t="str">
            <v>41-50W CFL Hard Wire</v>
          </cell>
          <cell r="D138">
            <v>48</v>
          </cell>
          <cell r="E138">
            <v>8</v>
          </cell>
        </row>
        <row r="139">
          <cell r="A139" t="str">
            <v>Result221</v>
          </cell>
          <cell r="B139">
            <v>1266</v>
          </cell>
          <cell r="C139" t="str">
            <v>51-60W CFL Hard Wire</v>
          </cell>
          <cell r="D139">
            <v>60</v>
          </cell>
          <cell r="E139">
            <v>8</v>
          </cell>
        </row>
        <row r="140">
          <cell r="A140" t="str">
            <v>Result222</v>
          </cell>
          <cell r="B140">
            <v>1002</v>
          </cell>
          <cell r="C140" t="str">
            <v>Indust Multi-CFL Fixture 3-Lamp</v>
          </cell>
          <cell r="D140">
            <v>165</v>
          </cell>
          <cell r="E140">
            <v>15</v>
          </cell>
        </row>
        <row r="141">
          <cell r="A141" t="str">
            <v>Result223</v>
          </cell>
          <cell r="B141">
            <v>1000</v>
          </cell>
          <cell r="C141" t="str">
            <v>Indust Multi-CFL Fixture 8-Lamp</v>
          </cell>
          <cell r="D141">
            <v>310</v>
          </cell>
          <cell r="E141">
            <v>15</v>
          </cell>
        </row>
        <row r="142">
          <cell r="A142" t="str">
            <v>Result224</v>
          </cell>
          <cell r="B142">
            <v>1405</v>
          </cell>
          <cell r="C142" t="str">
            <v>5-10W Cold Cathode Lamp</v>
          </cell>
          <cell r="D142">
            <v>7</v>
          </cell>
          <cell r="E142">
            <v>15</v>
          </cell>
        </row>
        <row r="143">
          <cell r="A143" t="str">
            <v>Result225</v>
          </cell>
          <cell r="B143">
            <v>1407</v>
          </cell>
          <cell r="C143" t="str">
            <v>11-20W Cold Cathode Lamp</v>
          </cell>
          <cell r="D143">
            <v>14</v>
          </cell>
          <cell r="E143">
            <v>25</v>
          </cell>
        </row>
        <row r="144">
          <cell r="A144" t="str">
            <v>Result226</v>
          </cell>
          <cell r="B144">
            <v>1406</v>
          </cell>
          <cell r="C144" t="str">
            <v>5-10W Cold Cathode Lamp</v>
          </cell>
          <cell r="D144">
            <v>7</v>
          </cell>
          <cell r="E144">
            <v>7.5</v>
          </cell>
        </row>
        <row r="145">
          <cell r="A145" t="str">
            <v>Result227</v>
          </cell>
          <cell r="B145">
            <v>1408</v>
          </cell>
          <cell r="C145" t="str">
            <v>11-15W Cold Cathode Lamp</v>
          </cell>
          <cell r="D145">
            <v>14</v>
          </cell>
          <cell r="E145">
            <v>12.5</v>
          </cell>
        </row>
        <row r="146">
          <cell r="A146" t="str">
            <v>Result228</v>
          </cell>
          <cell r="B146">
            <v>1603</v>
          </cell>
          <cell r="C146" t="str">
            <v>15-22W Induction Lamp (70W HID Base)</v>
          </cell>
          <cell r="D146">
            <v>15</v>
          </cell>
          <cell r="E146">
            <v>17.5</v>
          </cell>
        </row>
        <row r="147">
          <cell r="A147" t="str">
            <v>Result229</v>
          </cell>
          <cell r="B147">
            <v>1601</v>
          </cell>
          <cell r="C147" t="str">
            <v>23-39W Induction Lamp (100W HID Base)</v>
          </cell>
          <cell r="D147">
            <v>23</v>
          </cell>
          <cell r="E147">
            <v>22</v>
          </cell>
        </row>
        <row r="148">
          <cell r="A148" t="str">
            <v>Result23</v>
          </cell>
          <cell r="B148">
            <v>8022</v>
          </cell>
          <cell r="C148" t="str">
            <v>4' - F48T12 HO 1-Lamp</v>
          </cell>
          <cell r="D148">
            <v>76</v>
          </cell>
        </row>
        <row r="149">
          <cell r="A149" t="str">
            <v>Result230</v>
          </cell>
          <cell r="B149">
            <v>1605</v>
          </cell>
          <cell r="C149" t="str">
            <v>40-149W Induction Lamp (175W HID Base)</v>
          </cell>
          <cell r="D149">
            <v>80</v>
          </cell>
          <cell r="E149">
            <v>41</v>
          </cell>
        </row>
        <row r="150">
          <cell r="A150" t="str">
            <v>Result231</v>
          </cell>
          <cell r="B150">
            <v>1602</v>
          </cell>
          <cell r="C150" t="str">
            <v>15-22W Induction Lamp (70W HID Base)</v>
          </cell>
          <cell r="D150">
            <v>15</v>
          </cell>
          <cell r="E150">
            <v>8.75</v>
          </cell>
        </row>
        <row r="151">
          <cell r="A151" t="str">
            <v>Result232</v>
          </cell>
          <cell r="B151">
            <v>1600</v>
          </cell>
          <cell r="C151" t="str">
            <v>23-39W Induction Lamp (100W HID Base)</v>
          </cell>
          <cell r="D151">
            <v>23</v>
          </cell>
          <cell r="E151">
            <v>11</v>
          </cell>
        </row>
        <row r="152">
          <cell r="A152" t="str">
            <v>Result233</v>
          </cell>
          <cell r="B152">
            <v>1604</v>
          </cell>
          <cell r="C152" t="str">
            <v>40-149W Induction Lamp (175W HID Base)</v>
          </cell>
          <cell r="D152">
            <v>80</v>
          </cell>
          <cell r="E152">
            <v>20.5</v>
          </cell>
        </row>
        <row r="153">
          <cell r="A153" t="str">
            <v>Result234</v>
          </cell>
          <cell r="B153">
            <v>1501</v>
          </cell>
          <cell r="C153" t="str">
            <v>LED Lamps &amp; Fixtures</v>
          </cell>
          <cell r="D153">
            <v>0</v>
          </cell>
          <cell r="E153">
            <v>0</v>
          </cell>
        </row>
        <row r="154">
          <cell r="A154" t="str">
            <v>Result235</v>
          </cell>
          <cell r="B154">
            <v>1500</v>
          </cell>
          <cell r="C154" t="str">
            <v>LED Lamps &amp; Fixtures</v>
          </cell>
          <cell r="D154">
            <v>0</v>
          </cell>
          <cell r="E154">
            <v>0</v>
          </cell>
        </row>
        <row r="155">
          <cell r="A155" t="str">
            <v>Result236</v>
          </cell>
          <cell r="B155">
            <v>3000</v>
          </cell>
          <cell r="C155" t="str">
            <v>Exit Sign - LED or LEC</v>
          </cell>
          <cell r="D155">
            <v>4</v>
          </cell>
          <cell r="E155">
            <v>6</v>
          </cell>
        </row>
        <row r="156">
          <cell r="A156" t="str">
            <v>Result237</v>
          </cell>
          <cell r="B156">
            <v>4001</v>
          </cell>
          <cell r="C156" t="str">
            <v>Wall Mount Occupancy Sensor</v>
          </cell>
          <cell r="D156">
            <v>0</v>
          </cell>
          <cell r="E156">
            <v>12</v>
          </cell>
        </row>
        <row r="157">
          <cell r="A157" t="str">
            <v>Result238</v>
          </cell>
          <cell r="B157">
            <v>4003</v>
          </cell>
          <cell r="C157" t="str">
            <v>Ceiling Mount Occupancy Sensor</v>
          </cell>
          <cell r="D157">
            <v>0</v>
          </cell>
          <cell r="E157">
            <v>36</v>
          </cell>
        </row>
        <row r="158">
          <cell r="A158" t="str">
            <v>Result239</v>
          </cell>
          <cell r="B158">
            <v>4005</v>
          </cell>
          <cell r="C158" t="str">
            <v>Photocells</v>
          </cell>
          <cell r="D158">
            <v>0</v>
          </cell>
          <cell r="E158">
            <v>12</v>
          </cell>
        </row>
        <row r="159">
          <cell r="A159" t="str">
            <v>Result24</v>
          </cell>
          <cell r="B159">
            <v>8023</v>
          </cell>
          <cell r="C159" t="str">
            <v>4' - F48T12 HO 2-Lamp</v>
          </cell>
          <cell r="D159">
            <v>130</v>
          </cell>
        </row>
        <row r="160">
          <cell r="A160" t="str">
            <v>Result240</v>
          </cell>
          <cell r="B160">
            <v>4000</v>
          </cell>
          <cell r="C160" t="str">
            <v>Wall Mount Occupancy Sensor</v>
          </cell>
          <cell r="D160">
            <v>0</v>
          </cell>
          <cell r="E160">
            <v>6</v>
          </cell>
        </row>
        <row r="161">
          <cell r="A161" t="str">
            <v>Result241</v>
          </cell>
          <cell r="B161">
            <v>4002</v>
          </cell>
          <cell r="C161" t="str">
            <v>Ceiling Mount Occupancy Sensor</v>
          </cell>
          <cell r="D161">
            <v>0</v>
          </cell>
          <cell r="E161">
            <v>18</v>
          </cell>
        </row>
        <row r="162">
          <cell r="A162" t="str">
            <v>Result242</v>
          </cell>
          <cell r="B162">
            <v>4004</v>
          </cell>
          <cell r="C162" t="str">
            <v>Photocells</v>
          </cell>
          <cell r="E162">
            <v>6</v>
          </cell>
        </row>
        <row r="163">
          <cell r="A163" t="str">
            <v>Result243</v>
          </cell>
          <cell r="B163">
            <v>433</v>
          </cell>
          <cell r="C163" t="str">
            <v>4' F32T8 RLO w/refl 8-Lamp HID</v>
          </cell>
          <cell r="D163">
            <v>192</v>
          </cell>
          <cell r="E163">
            <v>65</v>
          </cell>
        </row>
        <row r="164">
          <cell r="A164" t="str">
            <v>Result244</v>
          </cell>
          <cell r="B164">
            <v>417</v>
          </cell>
          <cell r="C164" t="str">
            <v>4' F36T8 2-Lamp</v>
          </cell>
          <cell r="D164">
            <v>74</v>
          </cell>
          <cell r="E164">
            <v>9</v>
          </cell>
        </row>
        <row r="165">
          <cell r="A165" t="str">
            <v>Result245</v>
          </cell>
          <cell r="B165">
            <v>418</v>
          </cell>
          <cell r="C165" t="str">
            <v>4' F36T8 w/refl 1-Lamp</v>
          </cell>
          <cell r="D165">
            <v>37</v>
          </cell>
          <cell r="E165">
            <v>9</v>
          </cell>
        </row>
        <row r="166">
          <cell r="A166" t="str">
            <v>Result246</v>
          </cell>
          <cell r="B166">
            <v>804</v>
          </cell>
          <cell r="C166" t="str">
            <v>8' F96T8 w/refl 1-Lamp</v>
          </cell>
          <cell r="D166">
            <v>60</v>
          </cell>
          <cell r="E166">
            <v>9</v>
          </cell>
        </row>
        <row r="167">
          <cell r="A167" t="str">
            <v>Result247</v>
          </cell>
          <cell r="B167">
            <v>803</v>
          </cell>
          <cell r="C167" t="str">
            <v>8' F96T8 w/refl 2-Lamp (from F96T12/HO/VHO)</v>
          </cell>
          <cell r="D167">
            <v>108</v>
          </cell>
          <cell r="E167">
            <v>27.5</v>
          </cell>
        </row>
        <row r="168">
          <cell r="A168" t="str">
            <v>Result248</v>
          </cell>
          <cell r="B168">
            <v>807</v>
          </cell>
          <cell r="C168" t="str">
            <v>8' F96T8 RLO w/refl 1-Lamp</v>
          </cell>
          <cell r="D168">
            <v>49</v>
          </cell>
          <cell r="E168">
            <v>9</v>
          </cell>
        </row>
        <row r="169">
          <cell r="A169" t="str">
            <v>Result249</v>
          </cell>
          <cell r="B169">
            <v>808</v>
          </cell>
          <cell r="C169" t="str">
            <v>8' F96T8 RLO w/refl 2-Lamp</v>
          </cell>
          <cell r="D169">
            <v>160</v>
          </cell>
          <cell r="E169">
            <v>9</v>
          </cell>
        </row>
        <row r="170">
          <cell r="A170" t="str">
            <v>Result25</v>
          </cell>
          <cell r="B170">
            <v>8024</v>
          </cell>
          <cell r="C170" t="str">
            <v>4' - F48T12 HO 3-Lamp</v>
          </cell>
          <cell r="D170">
            <v>195</v>
          </cell>
        </row>
        <row r="171">
          <cell r="A171" t="str">
            <v>Result250</v>
          </cell>
          <cell r="B171">
            <v>200</v>
          </cell>
          <cell r="C171" t="str">
            <v>2' F17T8 1-Lamp</v>
          </cell>
          <cell r="D171">
            <v>18</v>
          </cell>
          <cell r="E171">
            <v>9</v>
          </cell>
        </row>
        <row r="172">
          <cell r="A172" t="str">
            <v>Result251</v>
          </cell>
          <cell r="B172">
            <v>201</v>
          </cell>
          <cell r="C172" t="str">
            <v>2' F17T8 2-Lamp</v>
          </cell>
          <cell r="D172">
            <v>32</v>
          </cell>
          <cell r="E172">
            <v>9</v>
          </cell>
        </row>
        <row r="173">
          <cell r="A173" t="str">
            <v>Result252</v>
          </cell>
          <cell r="B173">
            <v>202</v>
          </cell>
          <cell r="C173" t="str">
            <v>2' F17T8 3-Lamp</v>
          </cell>
          <cell r="D173">
            <v>48</v>
          </cell>
          <cell r="E173">
            <v>15</v>
          </cell>
        </row>
        <row r="174">
          <cell r="A174" t="str">
            <v>Result253</v>
          </cell>
          <cell r="B174">
            <v>203</v>
          </cell>
          <cell r="C174" t="str">
            <v>2' F17T8 4-Lamp</v>
          </cell>
          <cell r="D174">
            <v>57</v>
          </cell>
          <cell r="E174">
            <v>15</v>
          </cell>
        </row>
        <row r="175">
          <cell r="A175" t="str">
            <v>Result254</v>
          </cell>
          <cell r="B175">
            <v>204</v>
          </cell>
          <cell r="C175" t="str">
            <v>2' F17T8 w/refl 1-Lamp</v>
          </cell>
          <cell r="D175">
            <v>18</v>
          </cell>
          <cell r="E175">
            <v>14</v>
          </cell>
        </row>
        <row r="176">
          <cell r="A176" t="str">
            <v>Result255</v>
          </cell>
          <cell r="B176">
            <v>205</v>
          </cell>
          <cell r="C176" t="str">
            <v>2' F17T8 w/refl 2-Lamp</v>
          </cell>
          <cell r="D176">
            <v>32</v>
          </cell>
          <cell r="E176">
            <v>14</v>
          </cell>
        </row>
        <row r="177">
          <cell r="A177" t="str">
            <v>Result256</v>
          </cell>
          <cell r="B177">
            <v>300</v>
          </cell>
          <cell r="C177" t="str">
            <v>3' F25T8 1-Lamp</v>
          </cell>
          <cell r="D177">
            <v>24</v>
          </cell>
          <cell r="E177">
            <v>9</v>
          </cell>
        </row>
        <row r="178">
          <cell r="A178" t="str">
            <v>Result257</v>
          </cell>
          <cell r="B178">
            <v>301</v>
          </cell>
          <cell r="C178" t="str">
            <v>3' F25T8 2-Lamp</v>
          </cell>
          <cell r="D178">
            <v>46</v>
          </cell>
          <cell r="E178">
            <v>9</v>
          </cell>
        </row>
        <row r="179">
          <cell r="A179" t="str">
            <v>Result258</v>
          </cell>
          <cell r="B179">
            <v>302</v>
          </cell>
          <cell r="C179" t="str">
            <v>3' F25T8 3-Lamp</v>
          </cell>
          <cell r="D179">
            <v>66</v>
          </cell>
          <cell r="E179">
            <v>15</v>
          </cell>
        </row>
        <row r="180">
          <cell r="A180" t="str">
            <v>Result259</v>
          </cell>
          <cell r="B180">
            <v>303</v>
          </cell>
          <cell r="C180" t="str">
            <v>3' F25T8 4-Lamp</v>
          </cell>
          <cell r="D180">
            <v>82</v>
          </cell>
          <cell r="E180">
            <v>15</v>
          </cell>
        </row>
        <row r="181">
          <cell r="A181" t="str">
            <v>Result26</v>
          </cell>
          <cell r="B181">
            <v>8025</v>
          </cell>
          <cell r="C181" t="str">
            <v>4' - F48T12 HO 4-Lamp</v>
          </cell>
          <cell r="D181">
            <v>260</v>
          </cell>
        </row>
        <row r="182">
          <cell r="A182" t="str">
            <v>Result260</v>
          </cell>
          <cell r="B182">
            <v>304</v>
          </cell>
          <cell r="C182" t="str">
            <v>3' F25T8 w/refl 1-Lamp</v>
          </cell>
          <cell r="D182">
            <v>24</v>
          </cell>
          <cell r="E182">
            <v>16</v>
          </cell>
        </row>
        <row r="183">
          <cell r="A183" t="str">
            <v>Result261</v>
          </cell>
          <cell r="B183">
            <v>305</v>
          </cell>
          <cell r="C183" t="str">
            <v>3' F25T8 w/refl 2-Lamp</v>
          </cell>
          <cell r="D183">
            <v>46</v>
          </cell>
          <cell r="E183">
            <v>16</v>
          </cell>
        </row>
        <row r="184">
          <cell r="A184" t="str">
            <v>Result262</v>
          </cell>
          <cell r="B184">
            <v>400</v>
          </cell>
          <cell r="C184" t="str">
            <v>4' F32T8 1-Lamp</v>
          </cell>
          <cell r="D184">
            <v>29</v>
          </cell>
          <cell r="E184">
            <v>9</v>
          </cell>
        </row>
        <row r="185">
          <cell r="A185" t="str">
            <v>Result263</v>
          </cell>
          <cell r="B185">
            <v>401</v>
          </cell>
          <cell r="C185" t="str">
            <v>4' F32T8 2-Lamp</v>
          </cell>
          <cell r="D185">
            <v>58</v>
          </cell>
          <cell r="E185">
            <v>9</v>
          </cell>
        </row>
        <row r="186">
          <cell r="A186" t="str">
            <v>Result264</v>
          </cell>
          <cell r="B186">
            <v>402</v>
          </cell>
          <cell r="C186" t="str">
            <v>4' F32T8 3-Lamp</v>
          </cell>
          <cell r="D186">
            <v>85</v>
          </cell>
          <cell r="E186">
            <v>15</v>
          </cell>
        </row>
        <row r="187">
          <cell r="A187" t="str">
            <v>Result265</v>
          </cell>
          <cell r="B187">
            <v>403</v>
          </cell>
          <cell r="C187" t="str">
            <v>4' F32T8 4-Lamp</v>
          </cell>
          <cell r="D187">
            <v>107</v>
          </cell>
          <cell r="E187">
            <v>15</v>
          </cell>
        </row>
        <row r="188">
          <cell r="A188" t="str">
            <v>Result266</v>
          </cell>
          <cell r="B188">
            <v>462</v>
          </cell>
          <cell r="C188" t="str">
            <v>4' F32T8 w/refl 1-Lamp</v>
          </cell>
          <cell r="D188">
            <v>29</v>
          </cell>
          <cell r="E188">
            <v>12</v>
          </cell>
        </row>
        <row r="189">
          <cell r="A189" t="str">
            <v>Result267</v>
          </cell>
          <cell r="B189">
            <v>463</v>
          </cell>
          <cell r="C189" t="str">
            <v>4' F32T8 w/refl 2-Lamp</v>
          </cell>
          <cell r="D189">
            <v>58</v>
          </cell>
          <cell r="E189">
            <v>12</v>
          </cell>
        </row>
        <row r="190">
          <cell r="A190" t="str">
            <v>Result268</v>
          </cell>
          <cell r="B190">
            <v>464</v>
          </cell>
          <cell r="C190" t="str">
            <v>4' F32T8 w/refl 3-Lamp</v>
          </cell>
          <cell r="D190">
            <v>85</v>
          </cell>
          <cell r="E190">
            <v>20</v>
          </cell>
        </row>
        <row r="191">
          <cell r="A191" t="str">
            <v>Result269</v>
          </cell>
          <cell r="B191">
            <v>465</v>
          </cell>
          <cell r="C191" t="str">
            <v>4' F32T8 w/refl 4-Lamp</v>
          </cell>
          <cell r="D191">
            <v>107</v>
          </cell>
          <cell r="E191">
            <v>20</v>
          </cell>
        </row>
        <row r="192">
          <cell r="A192" t="str">
            <v>Result27</v>
          </cell>
          <cell r="B192">
            <v>8026</v>
          </cell>
          <cell r="C192" t="str">
            <v>4' - F48T12 VHO 1-Lamp</v>
          </cell>
          <cell r="D192">
            <v>134</v>
          </cell>
        </row>
        <row r="193">
          <cell r="A193" t="str">
            <v>Result270</v>
          </cell>
          <cell r="B193">
            <v>466</v>
          </cell>
          <cell r="C193" t="str">
            <v>4' F32T8 w/refl 5-Lamp</v>
          </cell>
          <cell r="D193">
            <v>148</v>
          </cell>
          <cell r="E193">
            <v>26</v>
          </cell>
        </row>
        <row r="194">
          <cell r="A194" t="str">
            <v>Result271</v>
          </cell>
          <cell r="B194">
            <v>467</v>
          </cell>
          <cell r="C194" t="str">
            <v>4' F32T8 w/refl 6-Lamp</v>
          </cell>
          <cell r="D194">
            <v>170</v>
          </cell>
          <cell r="E194">
            <v>31</v>
          </cell>
        </row>
        <row r="195">
          <cell r="A195" t="str">
            <v>Result272</v>
          </cell>
          <cell r="B195">
            <v>468</v>
          </cell>
          <cell r="C195" t="str">
            <v>4' F32T8 w/refl 8-Lamp</v>
          </cell>
          <cell r="D195">
            <v>227</v>
          </cell>
          <cell r="E195">
            <v>40</v>
          </cell>
        </row>
        <row r="196">
          <cell r="A196" t="str">
            <v>Result273</v>
          </cell>
          <cell r="B196">
            <v>411</v>
          </cell>
          <cell r="C196" t="str">
            <v>4' F32T8 RLO 1-Lamp</v>
          </cell>
          <cell r="D196">
            <v>26</v>
          </cell>
          <cell r="E196">
            <v>9</v>
          </cell>
        </row>
        <row r="197">
          <cell r="A197" t="str">
            <v>Result274</v>
          </cell>
          <cell r="B197">
            <v>412</v>
          </cell>
          <cell r="C197" t="str">
            <v>4' F32T8 RLO 2-Lamp</v>
          </cell>
          <cell r="D197">
            <v>51</v>
          </cell>
          <cell r="E197">
            <v>9</v>
          </cell>
        </row>
        <row r="198">
          <cell r="A198" t="str">
            <v>Result275</v>
          </cell>
          <cell r="B198">
            <v>413</v>
          </cell>
          <cell r="C198" t="str">
            <v>4' F32T8 RLO 3-Lamp</v>
          </cell>
          <cell r="D198">
            <v>74</v>
          </cell>
          <cell r="E198">
            <v>15</v>
          </cell>
        </row>
        <row r="199">
          <cell r="A199" t="str">
            <v>Result276</v>
          </cell>
          <cell r="B199">
            <v>414</v>
          </cell>
          <cell r="C199" t="str">
            <v>4' F32T8 RLO 4-Lamp</v>
          </cell>
          <cell r="D199">
            <v>94</v>
          </cell>
          <cell r="E199">
            <v>15</v>
          </cell>
        </row>
        <row r="200">
          <cell r="A200" t="str">
            <v>Result277</v>
          </cell>
          <cell r="B200">
            <v>415</v>
          </cell>
          <cell r="C200" t="str">
            <v>4' F32T8 RLO w/refl 1-Lamp</v>
          </cell>
          <cell r="D200">
            <v>26</v>
          </cell>
          <cell r="E200">
            <v>18</v>
          </cell>
        </row>
        <row r="201">
          <cell r="A201" t="str">
            <v>Result278</v>
          </cell>
          <cell r="B201">
            <v>416</v>
          </cell>
          <cell r="C201" t="str">
            <v>4' F32T8 RLO w/refl 2-Lamp</v>
          </cell>
          <cell r="D201">
            <v>51</v>
          </cell>
          <cell r="E201">
            <v>18</v>
          </cell>
        </row>
        <row r="202">
          <cell r="A202" t="str">
            <v>Result279</v>
          </cell>
          <cell r="B202">
            <v>436</v>
          </cell>
          <cell r="C202" t="str">
            <v>4' F32T8 HBF w/refl 4-Lamp HID</v>
          </cell>
          <cell r="D202">
            <v>141</v>
          </cell>
          <cell r="E202">
            <v>65</v>
          </cell>
        </row>
        <row r="203">
          <cell r="A203" t="str">
            <v>Result28</v>
          </cell>
          <cell r="B203">
            <v>8027</v>
          </cell>
          <cell r="C203" t="str">
            <v>4' - F48T12 VHO 2-Lamp</v>
          </cell>
          <cell r="D203">
            <v>240</v>
          </cell>
        </row>
        <row r="204">
          <cell r="A204" t="str">
            <v>Result280</v>
          </cell>
          <cell r="B204">
            <v>432</v>
          </cell>
          <cell r="C204" t="str">
            <v>4' F32T8 HBF w/refl 6-Lamp HID</v>
          </cell>
          <cell r="D204">
            <v>234</v>
          </cell>
          <cell r="E204">
            <v>65</v>
          </cell>
        </row>
        <row r="205">
          <cell r="A205" t="str">
            <v>Result281</v>
          </cell>
          <cell r="B205">
            <v>427</v>
          </cell>
          <cell r="C205" t="str">
            <v>4' F32 Super T8 1-Lamp</v>
          </cell>
          <cell r="D205">
            <v>26</v>
          </cell>
          <cell r="E205">
            <v>11</v>
          </cell>
        </row>
        <row r="206">
          <cell r="A206" t="str">
            <v>Result282</v>
          </cell>
          <cell r="B206">
            <v>428</v>
          </cell>
          <cell r="C206" t="str">
            <v>4' F32 Super T8 2-Lamp</v>
          </cell>
          <cell r="D206">
            <v>53</v>
          </cell>
          <cell r="E206">
            <v>11</v>
          </cell>
        </row>
        <row r="207">
          <cell r="A207" t="str">
            <v>Result283</v>
          </cell>
          <cell r="B207">
            <v>429</v>
          </cell>
          <cell r="C207" t="str">
            <v>4' F32 Super T8 3-Lamp</v>
          </cell>
          <cell r="D207">
            <v>80</v>
          </cell>
          <cell r="E207">
            <v>20</v>
          </cell>
        </row>
        <row r="208">
          <cell r="A208" t="str">
            <v>Result284</v>
          </cell>
          <cell r="B208">
            <v>430</v>
          </cell>
          <cell r="C208" t="str">
            <v>4' F32 Super T8 4-Lamp</v>
          </cell>
          <cell r="D208">
            <v>106</v>
          </cell>
          <cell r="E208">
            <v>20</v>
          </cell>
        </row>
        <row r="209">
          <cell r="A209" t="str">
            <v>Result285</v>
          </cell>
          <cell r="B209">
            <v>419</v>
          </cell>
          <cell r="C209" t="str">
            <v>4' F48T8 HO 1-Lamp</v>
          </cell>
          <cell r="D209">
            <v>40</v>
          </cell>
          <cell r="E209">
            <v>9</v>
          </cell>
        </row>
        <row r="210">
          <cell r="A210" t="str">
            <v>Result286</v>
          </cell>
          <cell r="B210">
            <v>420</v>
          </cell>
          <cell r="C210" t="str">
            <v>4' F48T8 HO 2-Lamp</v>
          </cell>
          <cell r="D210">
            <v>81</v>
          </cell>
          <cell r="E210">
            <v>9</v>
          </cell>
        </row>
        <row r="211">
          <cell r="A211" t="str">
            <v>Result287</v>
          </cell>
          <cell r="B211">
            <v>421</v>
          </cell>
          <cell r="C211" t="str">
            <v>4' F48T8 HO 3-Lamp</v>
          </cell>
          <cell r="D211">
            <v>118</v>
          </cell>
          <cell r="E211">
            <v>15</v>
          </cell>
        </row>
        <row r="212">
          <cell r="A212" t="str">
            <v>Result288</v>
          </cell>
          <cell r="B212">
            <v>422</v>
          </cell>
          <cell r="C212" t="str">
            <v>4' F48T8 HO 4-Lamp</v>
          </cell>
          <cell r="D212">
            <v>149</v>
          </cell>
          <cell r="E212">
            <v>15</v>
          </cell>
        </row>
        <row r="213">
          <cell r="A213" t="str">
            <v>Result289</v>
          </cell>
          <cell r="B213">
            <v>503</v>
          </cell>
          <cell r="C213" t="str">
            <v>5' F40T8 w/refl 1-Lamp</v>
          </cell>
          <cell r="D213">
            <v>46</v>
          </cell>
          <cell r="E213">
            <v>9</v>
          </cell>
        </row>
        <row r="214">
          <cell r="A214" t="str">
            <v>Result29</v>
          </cell>
          <cell r="B214">
            <v>8028</v>
          </cell>
          <cell r="C214" t="str">
            <v>4' - F48T12 VHO 3-Lamp</v>
          </cell>
          <cell r="D214">
            <v>450</v>
          </cell>
        </row>
        <row r="215">
          <cell r="A215" t="str">
            <v>Result290</v>
          </cell>
          <cell r="B215">
            <v>500</v>
          </cell>
          <cell r="C215" t="str">
            <v>5' F40T8 1-Lamp</v>
          </cell>
          <cell r="D215">
            <v>46</v>
          </cell>
          <cell r="E215">
            <v>9</v>
          </cell>
        </row>
        <row r="216">
          <cell r="A216" t="str">
            <v>Result291</v>
          </cell>
          <cell r="B216">
            <v>501</v>
          </cell>
          <cell r="C216" t="str">
            <v>5' F40T8 2-Lamp</v>
          </cell>
          <cell r="D216">
            <v>71</v>
          </cell>
          <cell r="E216">
            <v>9</v>
          </cell>
        </row>
        <row r="217">
          <cell r="A217" t="str">
            <v>Result292</v>
          </cell>
          <cell r="B217">
            <v>502</v>
          </cell>
          <cell r="C217" t="str">
            <v>5' F40T8 3-Lamp</v>
          </cell>
          <cell r="D217">
            <v>105</v>
          </cell>
          <cell r="E217">
            <v>18</v>
          </cell>
        </row>
        <row r="218">
          <cell r="A218" t="str">
            <v>Result293</v>
          </cell>
          <cell r="B218">
            <v>600</v>
          </cell>
          <cell r="C218" t="str">
            <v>6' F72T8 HO 1-Lamp</v>
          </cell>
          <cell r="D218">
            <v>80</v>
          </cell>
          <cell r="E218">
            <v>9</v>
          </cell>
        </row>
        <row r="219">
          <cell r="A219" t="str">
            <v>Result294</v>
          </cell>
          <cell r="B219">
            <v>601</v>
          </cell>
          <cell r="C219" t="str">
            <v>6' F72T8 HO 2-Lamp</v>
          </cell>
          <cell r="D219">
            <v>147</v>
          </cell>
          <cell r="E219">
            <v>9</v>
          </cell>
        </row>
        <row r="220">
          <cell r="A220" t="str">
            <v>Result295</v>
          </cell>
          <cell r="B220">
            <v>800</v>
          </cell>
          <cell r="C220" t="str">
            <v>8' F96T8 1-Lamp</v>
          </cell>
          <cell r="D220">
            <v>60</v>
          </cell>
          <cell r="E220">
            <v>9</v>
          </cell>
        </row>
        <row r="221">
          <cell r="A221" t="str">
            <v>Result296</v>
          </cell>
          <cell r="B221">
            <v>801</v>
          </cell>
          <cell r="C221" t="str">
            <v>8' F96T8 2-Lamp</v>
          </cell>
          <cell r="D221">
            <v>108</v>
          </cell>
          <cell r="E221">
            <v>9</v>
          </cell>
        </row>
        <row r="222">
          <cell r="A222" t="str">
            <v>Result297</v>
          </cell>
          <cell r="B222">
            <v>809</v>
          </cell>
          <cell r="C222" t="str">
            <v>8' F96T8 6-Lamp</v>
          </cell>
          <cell r="D222">
            <v>324</v>
          </cell>
          <cell r="E222">
            <v>30</v>
          </cell>
        </row>
        <row r="223">
          <cell r="A223" t="str">
            <v>Result298</v>
          </cell>
          <cell r="B223">
            <v>805</v>
          </cell>
          <cell r="C223" t="str">
            <v>8' F96T8  RLO 1-Lamp</v>
          </cell>
          <cell r="D223">
            <v>49</v>
          </cell>
          <cell r="E223">
            <v>9</v>
          </cell>
        </row>
        <row r="224">
          <cell r="A224" t="str">
            <v>Result299</v>
          </cell>
          <cell r="B224">
            <v>806</v>
          </cell>
          <cell r="C224" t="str">
            <v>8' F96T8  RLO 2-Lamp</v>
          </cell>
          <cell r="D224">
            <v>99</v>
          </cell>
          <cell r="E224">
            <v>806</v>
          </cell>
        </row>
        <row r="225">
          <cell r="A225" t="str">
            <v>Result3</v>
          </cell>
          <cell r="B225">
            <v>8002</v>
          </cell>
          <cell r="C225" t="str">
            <v>2' - F20T12 3-Lamp</v>
          </cell>
          <cell r="D225">
            <v>68</v>
          </cell>
        </row>
        <row r="226">
          <cell r="A226" t="str">
            <v>Result30</v>
          </cell>
          <cell r="B226">
            <v>8029</v>
          </cell>
          <cell r="C226" t="str">
            <v>5' - F60T12 1-Lamp</v>
          </cell>
          <cell r="D226">
            <v>100</v>
          </cell>
        </row>
        <row r="227">
          <cell r="A227" t="str">
            <v>Result300</v>
          </cell>
          <cell r="B227">
            <v>425</v>
          </cell>
          <cell r="C227" t="str">
            <v>4' F32T8 RLO w/refl 8-Lamp HID</v>
          </cell>
          <cell r="D227">
            <v>192</v>
          </cell>
          <cell r="E227">
            <v>20</v>
          </cell>
        </row>
        <row r="228">
          <cell r="A228" t="str">
            <v>Result301</v>
          </cell>
          <cell r="B228">
            <v>437</v>
          </cell>
          <cell r="C228" t="str">
            <v>4' F32T8 HBF w/refl 4-Lamp HID</v>
          </cell>
          <cell r="D228">
            <v>141</v>
          </cell>
          <cell r="E228">
            <v>20</v>
          </cell>
        </row>
        <row r="229">
          <cell r="A229" t="str">
            <v>Result302</v>
          </cell>
          <cell r="B229">
            <v>423</v>
          </cell>
          <cell r="C229" t="str">
            <v>4' F32T8 HBF w/refl 6-Lamp HID</v>
          </cell>
          <cell r="D229">
            <v>234</v>
          </cell>
          <cell r="E229">
            <v>20</v>
          </cell>
        </row>
        <row r="230">
          <cell r="A230" t="str">
            <v>Result303</v>
          </cell>
          <cell r="B230">
            <v>8091</v>
          </cell>
          <cell r="C230" t="str">
            <v>4' 32W T8 Lamps Only</v>
          </cell>
          <cell r="D230">
            <v>32</v>
          </cell>
        </row>
        <row r="231">
          <cell r="A231" t="str">
            <v>Result304</v>
          </cell>
          <cell r="B231">
            <v>8071</v>
          </cell>
          <cell r="C231" t="str">
            <v>50W Merc Vap 1-Lamp</v>
          </cell>
          <cell r="D231">
            <v>118</v>
          </cell>
        </row>
        <row r="232">
          <cell r="A232" t="str">
            <v>Result305</v>
          </cell>
          <cell r="B232">
            <v>8072</v>
          </cell>
          <cell r="C232" t="str">
            <v>100W Merc Vap 1-Lamp</v>
          </cell>
          <cell r="D232">
            <v>120</v>
          </cell>
        </row>
        <row r="233">
          <cell r="A233" t="str">
            <v>Result306</v>
          </cell>
          <cell r="B233">
            <v>8073</v>
          </cell>
          <cell r="C233" t="str">
            <v>175W Merc Vap 1-Lamp</v>
          </cell>
          <cell r="D233">
            <v>205</v>
          </cell>
        </row>
        <row r="234">
          <cell r="A234" t="str">
            <v>Result307</v>
          </cell>
          <cell r="B234">
            <v>8074</v>
          </cell>
          <cell r="C234" t="str">
            <v>250W Merc Vap 1-Lamp</v>
          </cell>
          <cell r="D234">
            <v>285</v>
          </cell>
        </row>
        <row r="235">
          <cell r="A235" t="str">
            <v>Result308</v>
          </cell>
          <cell r="B235">
            <v>8076</v>
          </cell>
          <cell r="C235" t="str">
            <v>400W Merc Vap 1-Lamp</v>
          </cell>
          <cell r="D235">
            <v>454</v>
          </cell>
        </row>
        <row r="236">
          <cell r="A236" t="str">
            <v>Result309</v>
          </cell>
          <cell r="B236">
            <v>8075</v>
          </cell>
          <cell r="C236" t="str">
            <v>400W Merc Vap 2-Lamp</v>
          </cell>
          <cell r="D236">
            <v>880</v>
          </cell>
        </row>
        <row r="237">
          <cell r="A237" t="str">
            <v>Result31</v>
          </cell>
          <cell r="B237">
            <v>8030</v>
          </cell>
          <cell r="C237" t="str">
            <v>5' - F60T12 2-Lamp</v>
          </cell>
          <cell r="D237">
            <v>135</v>
          </cell>
        </row>
        <row r="238">
          <cell r="A238" t="str">
            <v>Result310</v>
          </cell>
          <cell r="B238">
            <v>8077</v>
          </cell>
          <cell r="C238" t="str">
            <v>500W Merc Vap 1-Lamp</v>
          </cell>
          <cell r="D238">
            <v>570</v>
          </cell>
        </row>
        <row r="239">
          <cell r="A239" t="str">
            <v>Result311</v>
          </cell>
          <cell r="B239">
            <v>8078</v>
          </cell>
          <cell r="C239" t="str">
            <v>750W Merc Vap 1-Lamp</v>
          </cell>
          <cell r="D239">
            <v>775</v>
          </cell>
        </row>
        <row r="240">
          <cell r="A240" t="str">
            <v>Result312</v>
          </cell>
          <cell r="B240">
            <v>8079</v>
          </cell>
          <cell r="C240" t="str">
            <v>1000W Merc Vap 1-Lamp</v>
          </cell>
          <cell r="D240">
            <v>1075</v>
          </cell>
        </row>
        <row r="241">
          <cell r="A241" t="str">
            <v>Result313</v>
          </cell>
          <cell r="B241">
            <v>8086</v>
          </cell>
          <cell r="C241" t="str">
            <v>150W MH 1-Lamp</v>
          </cell>
          <cell r="D241">
            <v>187</v>
          </cell>
        </row>
        <row r="242">
          <cell r="A242" t="str">
            <v>Result314</v>
          </cell>
          <cell r="B242">
            <v>8087</v>
          </cell>
          <cell r="C242" t="str">
            <v>175W MH 1-Lamp</v>
          </cell>
          <cell r="D242">
            <v>210</v>
          </cell>
        </row>
        <row r="243">
          <cell r="A243" t="str">
            <v>Result315</v>
          </cell>
          <cell r="B243">
            <v>8088</v>
          </cell>
          <cell r="C243" t="str">
            <v>250W MH 1-Lamp</v>
          </cell>
          <cell r="D243">
            <v>295</v>
          </cell>
        </row>
        <row r="244">
          <cell r="A244" t="str">
            <v>Result316</v>
          </cell>
          <cell r="B244">
            <v>8089</v>
          </cell>
          <cell r="C244" t="str">
            <v>400W MH 1-Lamp</v>
          </cell>
          <cell r="D244">
            <v>460</v>
          </cell>
        </row>
        <row r="245">
          <cell r="A245" t="str">
            <v>Result317</v>
          </cell>
          <cell r="B245">
            <v>8090</v>
          </cell>
          <cell r="C245" t="str">
            <v>400W MH 2-Lamp</v>
          </cell>
          <cell r="D245">
            <v>880</v>
          </cell>
        </row>
        <row r="246">
          <cell r="A246" t="str">
            <v>Result318</v>
          </cell>
          <cell r="B246">
            <v>8092</v>
          </cell>
          <cell r="C246" t="str">
            <v>1000W MH 1-Lamp</v>
          </cell>
          <cell r="D246">
            <v>1070</v>
          </cell>
        </row>
        <row r="247">
          <cell r="A247" t="str">
            <v>Result319</v>
          </cell>
          <cell r="B247">
            <v>8093</v>
          </cell>
          <cell r="C247" t="str">
            <v>1000W MH 2-Lamp</v>
          </cell>
          <cell r="D247">
            <v>2140</v>
          </cell>
        </row>
        <row r="248">
          <cell r="A248" t="str">
            <v>Result32</v>
          </cell>
          <cell r="B248">
            <v>8031</v>
          </cell>
          <cell r="C248" t="str">
            <v>5' - F60T12 HO 1-Lamp</v>
          </cell>
          <cell r="D248">
            <v>126</v>
          </cell>
        </row>
        <row r="249">
          <cell r="A249" t="str">
            <v>Result320</v>
          </cell>
          <cell r="B249">
            <v>8094</v>
          </cell>
          <cell r="C249" t="str">
            <v>1000W MH 3-Lamp</v>
          </cell>
          <cell r="D249">
            <v>3210</v>
          </cell>
        </row>
        <row r="250">
          <cell r="A250" t="str">
            <v>Result321</v>
          </cell>
          <cell r="B250">
            <v>8080</v>
          </cell>
          <cell r="C250" t="str">
            <v>Exit Sign Incand. 15W 2-Lamp</v>
          </cell>
          <cell r="D250">
            <v>30</v>
          </cell>
        </row>
        <row r="251">
          <cell r="A251" t="str">
            <v>Result322</v>
          </cell>
          <cell r="B251">
            <v>8081</v>
          </cell>
          <cell r="C251" t="str">
            <v>Exit Sign Incand. 20W 2-Lamp</v>
          </cell>
          <cell r="D251">
            <v>40</v>
          </cell>
        </row>
        <row r="252">
          <cell r="A252" t="str">
            <v>Result324</v>
          </cell>
          <cell r="B252">
            <v>2001</v>
          </cell>
          <cell r="C252" t="str">
            <v>18W T5 1-Lamp</v>
          </cell>
          <cell r="D252">
            <v>20</v>
          </cell>
          <cell r="E252">
            <v>10</v>
          </cell>
        </row>
        <row r="253">
          <cell r="A253" t="str">
            <v>Result325</v>
          </cell>
          <cell r="B253">
            <v>2003</v>
          </cell>
          <cell r="C253" t="str">
            <v>18W T5 2-Lamp</v>
          </cell>
          <cell r="D253">
            <v>34</v>
          </cell>
          <cell r="E253">
            <v>10</v>
          </cell>
        </row>
        <row r="254">
          <cell r="A254" t="str">
            <v>Result326</v>
          </cell>
          <cell r="B254">
            <v>2005</v>
          </cell>
          <cell r="C254" t="str">
            <v>18W T5 3-Lamp</v>
          </cell>
          <cell r="D254">
            <v>50</v>
          </cell>
          <cell r="E254">
            <v>16</v>
          </cell>
        </row>
        <row r="255">
          <cell r="A255" t="str">
            <v>Result327</v>
          </cell>
          <cell r="B255">
            <v>2007</v>
          </cell>
          <cell r="C255" t="str">
            <v>39W T5 1-Lamp</v>
          </cell>
          <cell r="D255">
            <v>38</v>
          </cell>
          <cell r="E255">
            <v>10</v>
          </cell>
        </row>
        <row r="256">
          <cell r="A256" t="str">
            <v>Result328</v>
          </cell>
          <cell r="B256">
            <v>2009</v>
          </cell>
          <cell r="C256" t="str">
            <v>39W T5 2-Lamp</v>
          </cell>
          <cell r="D256">
            <v>66</v>
          </cell>
          <cell r="E256">
            <v>10</v>
          </cell>
        </row>
        <row r="257">
          <cell r="A257" t="str">
            <v>Result329</v>
          </cell>
          <cell r="B257">
            <v>2011</v>
          </cell>
          <cell r="C257" t="str">
            <v>39W T5 3-Lamp</v>
          </cell>
          <cell r="D257">
            <v>104</v>
          </cell>
          <cell r="E257">
            <v>16</v>
          </cell>
        </row>
        <row r="258">
          <cell r="A258" t="str">
            <v>Result33</v>
          </cell>
          <cell r="B258">
            <v>8032</v>
          </cell>
          <cell r="C258" t="str">
            <v>5' - F60T12 HO 2-Lamp</v>
          </cell>
          <cell r="D258">
            <v>170</v>
          </cell>
        </row>
        <row r="259">
          <cell r="A259" t="str">
            <v>Result330</v>
          </cell>
          <cell r="B259">
            <v>2013</v>
          </cell>
          <cell r="C259" t="str">
            <v>40W T5 1-Lamp</v>
          </cell>
          <cell r="D259">
            <v>35</v>
          </cell>
          <cell r="E259">
            <v>10</v>
          </cell>
        </row>
        <row r="260">
          <cell r="A260" t="str">
            <v>Result331</v>
          </cell>
          <cell r="B260">
            <v>2015</v>
          </cell>
          <cell r="C260" t="str">
            <v>40W T5 2-Lamp</v>
          </cell>
          <cell r="D260">
            <v>68</v>
          </cell>
          <cell r="E260">
            <v>10</v>
          </cell>
        </row>
        <row r="261">
          <cell r="A261" t="str">
            <v>Result332</v>
          </cell>
          <cell r="B261">
            <v>2017</v>
          </cell>
          <cell r="C261" t="str">
            <v>40W T5 3-Lamp</v>
          </cell>
          <cell r="D261">
            <v>98</v>
          </cell>
          <cell r="E261">
            <v>16</v>
          </cell>
        </row>
        <row r="262">
          <cell r="A262" t="str">
            <v>Result333</v>
          </cell>
          <cell r="B262">
            <v>2019</v>
          </cell>
          <cell r="C262" t="str">
            <v>40W T5 4-Lamp</v>
          </cell>
          <cell r="D262">
            <v>136</v>
          </cell>
          <cell r="E262">
            <v>16</v>
          </cell>
        </row>
        <row r="263">
          <cell r="A263" t="str">
            <v>Result334</v>
          </cell>
          <cell r="B263">
            <v>2021</v>
          </cell>
          <cell r="C263" t="str">
            <v>40W T5 6-Lamp</v>
          </cell>
          <cell r="D263">
            <v>204</v>
          </cell>
          <cell r="E263">
            <v>20</v>
          </cell>
        </row>
        <row r="264">
          <cell r="A264" t="str">
            <v>Result335</v>
          </cell>
          <cell r="B264">
            <v>2023</v>
          </cell>
          <cell r="C264" t="str">
            <v>50W T5 1-Lamp</v>
          </cell>
          <cell r="D264">
            <v>50</v>
          </cell>
          <cell r="E264">
            <v>10</v>
          </cell>
        </row>
        <row r="265">
          <cell r="A265" t="str">
            <v>Result336</v>
          </cell>
          <cell r="B265">
            <v>2027</v>
          </cell>
          <cell r="C265" t="str">
            <v>50W T5 2-Lamp</v>
          </cell>
          <cell r="D265">
            <v>100</v>
          </cell>
          <cell r="E265">
            <v>10</v>
          </cell>
        </row>
        <row r="266">
          <cell r="A266" t="str">
            <v>Result337</v>
          </cell>
          <cell r="B266">
            <v>2031</v>
          </cell>
          <cell r="C266" t="str">
            <v>50W T5 3-Lamp</v>
          </cell>
          <cell r="D266">
            <v>150</v>
          </cell>
          <cell r="E266">
            <v>16</v>
          </cell>
        </row>
        <row r="267">
          <cell r="A267" t="str">
            <v>Result338</v>
          </cell>
          <cell r="B267">
            <v>2035</v>
          </cell>
          <cell r="C267" t="str">
            <v>50W T5 4-Lamp</v>
          </cell>
          <cell r="D267">
            <v>200</v>
          </cell>
          <cell r="E267">
            <v>16</v>
          </cell>
        </row>
        <row r="268">
          <cell r="A268" t="str">
            <v>Result339</v>
          </cell>
          <cell r="B268">
            <v>2025</v>
          </cell>
          <cell r="C268" t="str">
            <v>55W T5 1-Lamp</v>
          </cell>
          <cell r="D268">
            <v>55</v>
          </cell>
          <cell r="E268">
            <v>10</v>
          </cell>
        </row>
        <row r="269">
          <cell r="A269" t="str">
            <v>Result34</v>
          </cell>
          <cell r="B269">
            <v>8033</v>
          </cell>
          <cell r="C269" t="str">
            <v>5' - F60T12 HO 3-Lamp</v>
          </cell>
          <cell r="D269">
            <v>250</v>
          </cell>
        </row>
        <row r="270">
          <cell r="A270" t="str">
            <v>Result340</v>
          </cell>
          <cell r="B270">
            <v>2029</v>
          </cell>
          <cell r="C270" t="str">
            <v>55W T5 2-Lamp</v>
          </cell>
          <cell r="D270">
            <v>110</v>
          </cell>
          <cell r="E270">
            <v>10</v>
          </cell>
        </row>
        <row r="271">
          <cell r="A271" t="str">
            <v>Result341</v>
          </cell>
          <cell r="B271">
            <v>2033</v>
          </cell>
          <cell r="C271" t="str">
            <v>55W T5 3-Lamp</v>
          </cell>
          <cell r="D271">
            <v>165</v>
          </cell>
          <cell r="E271">
            <v>16</v>
          </cell>
        </row>
        <row r="272">
          <cell r="A272" t="str">
            <v>Result342</v>
          </cell>
          <cell r="B272">
            <v>2037</v>
          </cell>
          <cell r="C272" t="str">
            <v>55W T5 4-Lamp</v>
          </cell>
          <cell r="D272">
            <v>220</v>
          </cell>
          <cell r="E272">
            <v>16</v>
          </cell>
        </row>
        <row r="273">
          <cell r="A273" t="str">
            <v>Result343</v>
          </cell>
          <cell r="B273">
            <v>2039</v>
          </cell>
          <cell r="C273" t="str">
            <v>24W T5 HO 1-Lamp</v>
          </cell>
          <cell r="D273">
            <v>29</v>
          </cell>
          <cell r="E273">
            <v>4</v>
          </cell>
        </row>
        <row r="274">
          <cell r="A274" t="str">
            <v>Result344</v>
          </cell>
          <cell r="B274">
            <v>2041</v>
          </cell>
          <cell r="C274" t="str">
            <v>24W T5 HO 2-Lamp</v>
          </cell>
          <cell r="D274">
            <v>55</v>
          </cell>
          <cell r="E274">
            <v>4</v>
          </cell>
        </row>
        <row r="275">
          <cell r="A275" t="str">
            <v>Result345</v>
          </cell>
          <cell r="B275">
            <v>2043</v>
          </cell>
          <cell r="C275" t="str">
            <v>39W T5 HO 1-Lamp</v>
          </cell>
          <cell r="D275">
            <v>43</v>
          </cell>
          <cell r="E275">
            <v>8</v>
          </cell>
        </row>
        <row r="276">
          <cell r="A276" t="str">
            <v>Result346</v>
          </cell>
          <cell r="B276">
            <v>2045</v>
          </cell>
          <cell r="C276" t="str">
            <v>39W T5 HO 2-Lamp</v>
          </cell>
          <cell r="D276">
            <v>85</v>
          </cell>
          <cell r="E276">
            <v>8</v>
          </cell>
        </row>
        <row r="277">
          <cell r="A277" t="str">
            <v>Result347</v>
          </cell>
          <cell r="B277">
            <v>2000</v>
          </cell>
          <cell r="C277" t="str">
            <v>18W T5 1-Lamp</v>
          </cell>
          <cell r="D277">
            <v>20</v>
          </cell>
          <cell r="E277">
            <v>2</v>
          </cell>
        </row>
        <row r="278">
          <cell r="A278" t="str">
            <v>Result348</v>
          </cell>
          <cell r="B278">
            <v>2002</v>
          </cell>
          <cell r="C278" t="str">
            <v>18W T5 2-Lamp</v>
          </cell>
          <cell r="D278">
            <v>34</v>
          </cell>
          <cell r="E278">
            <v>2</v>
          </cell>
        </row>
        <row r="279">
          <cell r="A279" t="str">
            <v>Result349</v>
          </cell>
          <cell r="B279">
            <v>2004</v>
          </cell>
          <cell r="C279" t="str">
            <v>18W T5 3-Lamp</v>
          </cell>
          <cell r="D279">
            <v>50</v>
          </cell>
          <cell r="E279">
            <v>2.5</v>
          </cell>
        </row>
        <row r="280">
          <cell r="A280" t="str">
            <v>Result35</v>
          </cell>
          <cell r="B280">
            <v>8034</v>
          </cell>
          <cell r="C280" t="str">
            <v>5' - F60T12 HO 4-Lamp</v>
          </cell>
          <cell r="D280">
            <v>330</v>
          </cell>
        </row>
        <row r="281">
          <cell r="A281" t="str">
            <v>Result350</v>
          </cell>
          <cell r="B281">
            <v>2006</v>
          </cell>
          <cell r="C281" t="str">
            <v>39W T5 1-Lamp</v>
          </cell>
          <cell r="D281">
            <v>38</v>
          </cell>
          <cell r="E281">
            <v>2</v>
          </cell>
        </row>
        <row r="282">
          <cell r="A282" t="str">
            <v>Result351</v>
          </cell>
          <cell r="B282">
            <v>2008</v>
          </cell>
          <cell r="C282" t="str">
            <v>39W T5 2-Lamp</v>
          </cell>
          <cell r="D282">
            <v>66</v>
          </cell>
          <cell r="E282">
            <v>2</v>
          </cell>
        </row>
        <row r="283">
          <cell r="A283" t="str">
            <v>Result352</v>
          </cell>
          <cell r="B283">
            <v>2010</v>
          </cell>
          <cell r="C283" t="str">
            <v>39W T5 3-Lamp</v>
          </cell>
          <cell r="D283">
            <v>104</v>
          </cell>
          <cell r="E283">
            <v>2.5</v>
          </cell>
        </row>
        <row r="284">
          <cell r="A284" t="str">
            <v>Result353</v>
          </cell>
          <cell r="B284">
            <v>2013</v>
          </cell>
          <cell r="C284" t="str">
            <v>40W T5 1-Lamp</v>
          </cell>
          <cell r="D284">
            <v>35</v>
          </cell>
          <cell r="E284">
            <v>2</v>
          </cell>
        </row>
        <row r="285">
          <cell r="A285" t="str">
            <v>Result354</v>
          </cell>
          <cell r="B285">
            <v>2014</v>
          </cell>
          <cell r="C285" t="str">
            <v>40W T5 2-Lamp</v>
          </cell>
          <cell r="D285">
            <v>68</v>
          </cell>
          <cell r="E285">
            <v>2</v>
          </cell>
        </row>
        <row r="286">
          <cell r="A286" t="str">
            <v>Result355</v>
          </cell>
          <cell r="B286">
            <v>2016</v>
          </cell>
          <cell r="C286" t="str">
            <v>40W T5 3-Lamp</v>
          </cell>
          <cell r="D286">
            <v>98</v>
          </cell>
          <cell r="E286">
            <v>2.5</v>
          </cell>
        </row>
        <row r="287">
          <cell r="A287" t="str">
            <v>Result356</v>
          </cell>
          <cell r="B287">
            <v>2018</v>
          </cell>
          <cell r="C287" t="str">
            <v>40W T5 4-Lamp</v>
          </cell>
          <cell r="D287">
            <v>136</v>
          </cell>
          <cell r="E287">
            <v>2.5</v>
          </cell>
        </row>
        <row r="288">
          <cell r="A288" t="str">
            <v>Result357</v>
          </cell>
          <cell r="B288">
            <v>2020</v>
          </cell>
          <cell r="C288" t="str">
            <v>40W T5 6-Lamp</v>
          </cell>
          <cell r="D288">
            <v>204</v>
          </cell>
          <cell r="E288">
            <v>3</v>
          </cell>
        </row>
        <row r="289">
          <cell r="A289" t="str">
            <v>Result358</v>
          </cell>
          <cell r="B289">
            <v>2022</v>
          </cell>
          <cell r="C289" t="str">
            <v>50W T5 1-Lamp</v>
          </cell>
          <cell r="D289">
            <v>50</v>
          </cell>
          <cell r="E289">
            <v>2</v>
          </cell>
        </row>
        <row r="290">
          <cell r="A290" t="str">
            <v>Result359</v>
          </cell>
          <cell r="B290">
            <v>2026</v>
          </cell>
          <cell r="C290" t="str">
            <v>50W T5 2-Lamp</v>
          </cell>
          <cell r="D290">
            <v>100</v>
          </cell>
          <cell r="E290">
            <v>2</v>
          </cell>
        </row>
        <row r="291">
          <cell r="A291" t="str">
            <v>Result36</v>
          </cell>
          <cell r="B291">
            <v>8035</v>
          </cell>
          <cell r="C291" t="str">
            <v>5' - F60T12 VHO 1-Lamp</v>
          </cell>
          <cell r="D291">
            <v>157</v>
          </cell>
        </row>
        <row r="292">
          <cell r="A292" t="str">
            <v>Result360</v>
          </cell>
          <cell r="B292">
            <v>2030</v>
          </cell>
          <cell r="C292" t="str">
            <v>50W T5 3-Lamp</v>
          </cell>
          <cell r="D292">
            <v>150</v>
          </cell>
          <cell r="E292">
            <v>8</v>
          </cell>
        </row>
        <row r="293">
          <cell r="A293" t="str">
            <v>Result361</v>
          </cell>
          <cell r="B293">
            <v>2034</v>
          </cell>
          <cell r="C293" t="str">
            <v>50W T5 4-Lamp</v>
          </cell>
          <cell r="D293">
            <v>200</v>
          </cell>
          <cell r="E293">
            <v>8</v>
          </cell>
        </row>
        <row r="294">
          <cell r="A294" t="str">
            <v>Result362</v>
          </cell>
          <cell r="B294">
            <v>2024</v>
          </cell>
          <cell r="C294" t="str">
            <v>55W T5 1-Lamp</v>
          </cell>
          <cell r="D294">
            <v>55</v>
          </cell>
          <cell r="E294">
            <v>2</v>
          </cell>
        </row>
        <row r="295">
          <cell r="A295" t="str">
            <v>Result363</v>
          </cell>
          <cell r="B295">
            <v>2028</v>
          </cell>
          <cell r="C295" t="str">
            <v>55W T5 2-Lamp</v>
          </cell>
          <cell r="D295">
            <v>110</v>
          </cell>
          <cell r="E295">
            <v>2</v>
          </cell>
        </row>
        <row r="296">
          <cell r="A296" t="str">
            <v>Result364</v>
          </cell>
          <cell r="B296">
            <v>2032</v>
          </cell>
          <cell r="C296" t="str">
            <v>55W T5 3-Lamp</v>
          </cell>
          <cell r="D296">
            <v>165</v>
          </cell>
          <cell r="E296">
            <v>8</v>
          </cell>
        </row>
        <row r="297">
          <cell r="A297" t="str">
            <v>Result365</v>
          </cell>
          <cell r="B297">
            <v>2036</v>
          </cell>
          <cell r="C297" t="str">
            <v>55W T5 4-Lamp</v>
          </cell>
          <cell r="D297">
            <v>220</v>
          </cell>
          <cell r="E297">
            <v>8</v>
          </cell>
        </row>
        <row r="298">
          <cell r="A298" t="str">
            <v>Result366</v>
          </cell>
          <cell r="B298">
            <v>2038</v>
          </cell>
          <cell r="C298" t="str">
            <v>24W T5 HO 1-Lamp</v>
          </cell>
          <cell r="D298">
            <v>29</v>
          </cell>
          <cell r="E298">
            <v>2</v>
          </cell>
        </row>
        <row r="299">
          <cell r="A299" t="str">
            <v>Result367</v>
          </cell>
          <cell r="B299">
            <v>2040</v>
          </cell>
          <cell r="C299" t="str">
            <v>24W T5 HO 2-Lamp</v>
          </cell>
          <cell r="D299">
            <v>55</v>
          </cell>
          <cell r="E299">
            <v>2</v>
          </cell>
        </row>
        <row r="300">
          <cell r="A300" t="str">
            <v>Result368</v>
          </cell>
          <cell r="B300">
            <v>2042</v>
          </cell>
          <cell r="C300" t="str">
            <v>39W T5 HO 1-Lamp</v>
          </cell>
          <cell r="D300">
            <v>43</v>
          </cell>
          <cell r="E300">
            <v>2</v>
          </cell>
        </row>
        <row r="301">
          <cell r="A301" t="str">
            <v>Result369</v>
          </cell>
          <cell r="B301">
            <v>2044</v>
          </cell>
          <cell r="C301" t="str">
            <v>39W T5 HO 2-Lamp</v>
          </cell>
          <cell r="D301">
            <v>85</v>
          </cell>
          <cell r="E301">
            <v>2</v>
          </cell>
        </row>
        <row r="302">
          <cell r="A302" t="str">
            <v>Result37</v>
          </cell>
          <cell r="B302">
            <v>8036</v>
          </cell>
          <cell r="C302" t="str">
            <v>5' - F60T12 VHO 2-Lamp</v>
          </cell>
          <cell r="D302">
            <v>310</v>
          </cell>
        </row>
        <row r="303">
          <cell r="A303" t="str">
            <v>Result370</v>
          </cell>
          <cell r="B303">
            <v>8082</v>
          </cell>
          <cell r="C303" t="str">
            <v>Traffic Signal 12" Ball (any color)</v>
          </cell>
          <cell r="D303">
            <v>150</v>
          </cell>
        </row>
        <row r="304">
          <cell r="A304" t="str">
            <v>Result371</v>
          </cell>
          <cell r="B304">
            <v>8083</v>
          </cell>
          <cell r="C304" t="str">
            <v>Traffic Signal 8" Ball (any color)</v>
          </cell>
          <cell r="D304">
            <v>67</v>
          </cell>
        </row>
        <row r="305">
          <cell r="A305" t="str">
            <v>Result372</v>
          </cell>
          <cell r="B305">
            <v>8084</v>
          </cell>
          <cell r="C305" t="str">
            <v>Traffic Signal Arrow (any color)</v>
          </cell>
          <cell r="D305">
            <v>150</v>
          </cell>
        </row>
        <row r="306">
          <cell r="A306" t="str">
            <v>Result373</v>
          </cell>
          <cell r="B306">
            <v>8085</v>
          </cell>
          <cell r="C306" t="str">
            <v>Traffic Signal hand/man combo</v>
          </cell>
          <cell r="D306">
            <v>69</v>
          </cell>
        </row>
        <row r="307">
          <cell r="A307" t="str">
            <v>Result374</v>
          </cell>
          <cell r="B307">
            <v>5001</v>
          </cell>
          <cell r="C307" t="str">
            <v>Traffic Signal 12" red ball LED</v>
          </cell>
          <cell r="D307">
            <v>17</v>
          </cell>
          <cell r="E307">
            <v>25</v>
          </cell>
        </row>
        <row r="308">
          <cell r="A308" t="str">
            <v>Result375</v>
          </cell>
          <cell r="B308">
            <v>5003</v>
          </cell>
          <cell r="C308" t="str">
            <v>Traffic Signal 12" green ball LED</v>
          </cell>
          <cell r="D308">
            <v>15</v>
          </cell>
          <cell r="E308">
            <v>65</v>
          </cell>
        </row>
        <row r="309">
          <cell r="A309" t="str">
            <v>Result376</v>
          </cell>
          <cell r="B309">
            <v>5005</v>
          </cell>
          <cell r="C309" t="str">
            <v>Traffic Signal 12" yellow ball LED</v>
          </cell>
          <cell r="D309">
            <v>24</v>
          </cell>
          <cell r="E309">
            <v>25</v>
          </cell>
        </row>
        <row r="310">
          <cell r="A310" t="str">
            <v>Result377</v>
          </cell>
          <cell r="B310">
            <v>5007</v>
          </cell>
          <cell r="C310" t="str">
            <v>Traffic Signal 8" red ball LED</v>
          </cell>
          <cell r="D310">
            <v>13</v>
          </cell>
          <cell r="E310">
            <v>15</v>
          </cell>
        </row>
        <row r="311">
          <cell r="A311" t="str">
            <v>Result378</v>
          </cell>
          <cell r="B311">
            <v>5009</v>
          </cell>
          <cell r="C311" t="str">
            <v>Traffic Signal 8" green ball LED</v>
          </cell>
          <cell r="D311">
            <v>12</v>
          </cell>
          <cell r="E311">
            <v>40</v>
          </cell>
        </row>
        <row r="312">
          <cell r="A312" t="str">
            <v>Result379</v>
          </cell>
          <cell r="B312">
            <v>5011</v>
          </cell>
          <cell r="C312" t="str">
            <v>Traffic Signal 8" yellow ball LED</v>
          </cell>
          <cell r="D312">
            <v>10</v>
          </cell>
          <cell r="E312">
            <v>15</v>
          </cell>
        </row>
        <row r="313">
          <cell r="A313" t="str">
            <v>Result38</v>
          </cell>
          <cell r="B313">
            <v>8037</v>
          </cell>
          <cell r="C313" t="str">
            <v>6' - F72T12 1-Lamp</v>
          </cell>
          <cell r="D313">
            <v>107</v>
          </cell>
        </row>
        <row r="314">
          <cell r="A314" t="str">
            <v>Result380</v>
          </cell>
          <cell r="B314">
            <v>5013</v>
          </cell>
          <cell r="C314" t="str">
            <v>Traffic Signal 12" red arrow LED</v>
          </cell>
          <cell r="D314">
            <v>12</v>
          </cell>
          <cell r="E314">
            <v>25</v>
          </cell>
        </row>
        <row r="315">
          <cell r="A315" t="str">
            <v>Result381</v>
          </cell>
          <cell r="B315">
            <v>5015</v>
          </cell>
          <cell r="C315" t="str">
            <v>Traffic Signal 12" green arrow LED</v>
          </cell>
          <cell r="D315">
            <v>11</v>
          </cell>
          <cell r="E315">
            <v>65</v>
          </cell>
        </row>
        <row r="316">
          <cell r="A316" t="str">
            <v>Result382</v>
          </cell>
          <cell r="B316">
            <v>5017</v>
          </cell>
          <cell r="C316" t="str">
            <v>Traffic Signal 12" yellow arrow LED</v>
          </cell>
          <cell r="D316">
            <v>10</v>
          </cell>
          <cell r="E316">
            <v>25</v>
          </cell>
        </row>
        <row r="317">
          <cell r="A317" t="str">
            <v>Result383</v>
          </cell>
          <cell r="B317">
            <v>5023</v>
          </cell>
          <cell r="C317" t="str">
            <v>Traffic Singal 9" hand LED</v>
          </cell>
          <cell r="D317">
            <v>5</v>
          </cell>
          <cell r="E317">
            <v>25</v>
          </cell>
        </row>
        <row r="318">
          <cell r="A318" t="str">
            <v>Result384</v>
          </cell>
          <cell r="B318">
            <v>5019</v>
          </cell>
          <cell r="C318" t="str">
            <v>Traffic Singal 12" hand LED</v>
          </cell>
          <cell r="D318">
            <v>16</v>
          </cell>
          <cell r="E318">
            <v>40</v>
          </cell>
        </row>
        <row r="319">
          <cell r="A319" t="str">
            <v>Result385</v>
          </cell>
          <cell r="B319">
            <v>5021</v>
          </cell>
          <cell r="C319" t="str">
            <v>Traffic Singal 12" man LED</v>
          </cell>
          <cell r="D319">
            <v>12</v>
          </cell>
          <cell r="E319">
            <v>40</v>
          </cell>
        </row>
        <row r="320">
          <cell r="A320" t="str">
            <v>Result386</v>
          </cell>
          <cell r="B320">
            <v>5025</v>
          </cell>
          <cell r="C320" t="str">
            <v>Traffic Singal 12" combo hand/man/cntdwn LED</v>
          </cell>
          <cell r="D320">
            <v>17</v>
          </cell>
          <cell r="E320">
            <v>60</v>
          </cell>
        </row>
        <row r="321">
          <cell r="A321" t="str">
            <v>Result387</v>
          </cell>
          <cell r="B321">
            <v>5000</v>
          </cell>
          <cell r="C321" t="str">
            <v>Traffic Signal 12" red ball LED</v>
          </cell>
          <cell r="D321">
            <v>17</v>
          </cell>
          <cell r="E321">
            <v>12.5</v>
          </cell>
        </row>
        <row r="322">
          <cell r="A322" t="str">
            <v>Result388</v>
          </cell>
          <cell r="B322">
            <v>5002</v>
          </cell>
          <cell r="C322" t="str">
            <v>Traffic Signal 12" green ball LED</v>
          </cell>
          <cell r="D322">
            <v>15</v>
          </cell>
          <cell r="E322">
            <v>32.5</v>
          </cell>
        </row>
        <row r="323">
          <cell r="A323" t="str">
            <v>Result389</v>
          </cell>
          <cell r="B323">
            <v>5004</v>
          </cell>
          <cell r="C323" t="str">
            <v>Traffic Signal 12" yellow ball LED</v>
          </cell>
          <cell r="D323">
            <v>24</v>
          </cell>
          <cell r="E323">
            <v>12.5</v>
          </cell>
        </row>
        <row r="324">
          <cell r="A324" t="str">
            <v>Result39</v>
          </cell>
          <cell r="B324">
            <v>8038</v>
          </cell>
          <cell r="C324" t="str">
            <v>6' - F72T12 2-Lamp</v>
          </cell>
          <cell r="D324">
            <v>145</v>
          </cell>
        </row>
        <row r="325">
          <cell r="A325" t="str">
            <v>Result390</v>
          </cell>
          <cell r="B325">
            <v>5006</v>
          </cell>
          <cell r="C325" t="str">
            <v>Traffic Signal 8" red ball LED</v>
          </cell>
          <cell r="D325">
            <v>13</v>
          </cell>
          <cell r="E325">
            <v>7.5</v>
          </cell>
        </row>
        <row r="326">
          <cell r="A326" t="str">
            <v>Result391</v>
          </cell>
          <cell r="B326">
            <v>5008</v>
          </cell>
          <cell r="C326" t="str">
            <v>Traffic Signal 8" green ball LED</v>
          </cell>
          <cell r="D326">
            <v>12</v>
          </cell>
          <cell r="E326">
            <v>20</v>
          </cell>
        </row>
        <row r="327">
          <cell r="A327" t="str">
            <v>Result392</v>
          </cell>
          <cell r="B327">
            <v>5010</v>
          </cell>
          <cell r="C327" t="str">
            <v>Traffic Signal 8" yellow ball LED</v>
          </cell>
          <cell r="D327">
            <v>10</v>
          </cell>
          <cell r="E327">
            <v>7.5</v>
          </cell>
        </row>
        <row r="328">
          <cell r="A328" t="str">
            <v>Result393</v>
          </cell>
          <cell r="B328">
            <v>5012</v>
          </cell>
          <cell r="C328" t="str">
            <v>Traffic Signal 12" red arrow LED</v>
          </cell>
          <cell r="D328">
            <v>12</v>
          </cell>
          <cell r="E328">
            <v>12.5</v>
          </cell>
        </row>
        <row r="329">
          <cell r="A329" t="str">
            <v>Result394</v>
          </cell>
          <cell r="B329">
            <v>5014</v>
          </cell>
          <cell r="C329" t="str">
            <v>Traffic Signal 12" green arrow LED</v>
          </cell>
          <cell r="D329">
            <v>11</v>
          </cell>
          <cell r="E329">
            <v>32.5</v>
          </cell>
        </row>
        <row r="330">
          <cell r="A330" t="str">
            <v>Result395</v>
          </cell>
          <cell r="B330">
            <v>5016</v>
          </cell>
          <cell r="C330" t="str">
            <v>Traffic Signal 12" yellow arrow LED</v>
          </cell>
          <cell r="D330">
            <v>10</v>
          </cell>
          <cell r="E330">
            <v>12.5</v>
          </cell>
        </row>
        <row r="331">
          <cell r="A331" t="str">
            <v>Result396</v>
          </cell>
          <cell r="B331">
            <v>5022</v>
          </cell>
          <cell r="C331" t="str">
            <v>Traffic Singal 9" hand LED</v>
          </cell>
          <cell r="D331">
            <v>5</v>
          </cell>
          <cell r="E331">
            <v>12.5</v>
          </cell>
        </row>
        <row r="332">
          <cell r="A332" t="str">
            <v>Result397</v>
          </cell>
          <cell r="B332">
            <v>5018</v>
          </cell>
          <cell r="C332" t="str">
            <v>Traffic Singal 12" hand LED</v>
          </cell>
          <cell r="D332">
            <v>16</v>
          </cell>
          <cell r="E332">
            <v>20</v>
          </cell>
        </row>
        <row r="333">
          <cell r="A333" t="str">
            <v>Result398</v>
          </cell>
          <cell r="B333">
            <v>5020</v>
          </cell>
          <cell r="C333" t="str">
            <v>Traffic Singal 12" man LED</v>
          </cell>
          <cell r="D333">
            <v>12</v>
          </cell>
          <cell r="E333">
            <v>20</v>
          </cell>
        </row>
        <row r="334">
          <cell r="A334" t="str">
            <v>Result399</v>
          </cell>
          <cell r="B334">
            <v>5024</v>
          </cell>
          <cell r="C334" t="str">
            <v>Traffic Singal 12" combo hand/man/cntdwn LED</v>
          </cell>
          <cell r="D334">
            <v>17</v>
          </cell>
          <cell r="E334">
            <v>30</v>
          </cell>
        </row>
        <row r="335">
          <cell r="A335" t="str">
            <v>Result4</v>
          </cell>
          <cell r="B335">
            <v>8003</v>
          </cell>
          <cell r="C335" t="str">
            <v>2' - F20T12 4-Lamp</v>
          </cell>
          <cell r="D335">
            <v>91</v>
          </cell>
        </row>
        <row r="336">
          <cell r="A336" t="str">
            <v>Result40</v>
          </cell>
          <cell r="B336">
            <v>8039</v>
          </cell>
          <cell r="C336" t="str">
            <v>6' - F72T12 HO 1-Lamp</v>
          </cell>
          <cell r="D336">
            <v>135</v>
          </cell>
        </row>
        <row r="337">
          <cell r="A337" t="str">
            <v>Result400</v>
          </cell>
          <cell r="B337">
            <v>8096</v>
          </cell>
          <cell r="C337" t="str">
            <v>450W Incandescent</v>
          </cell>
          <cell r="D337">
            <v>450</v>
          </cell>
        </row>
        <row r="338">
          <cell r="A338" t="str">
            <v>Result401</v>
          </cell>
          <cell r="B338">
            <v>475</v>
          </cell>
          <cell r="C338" t="str">
            <v>Low Watt (28W) 4' T8 Lamps Only</v>
          </cell>
          <cell r="D338">
            <v>28</v>
          </cell>
          <cell r="E338">
            <v>1</v>
          </cell>
        </row>
        <row r="339">
          <cell r="A339" t="str">
            <v>Result402</v>
          </cell>
          <cell r="B339">
            <v>476</v>
          </cell>
          <cell r="C339" t="str">
            <v>Low Watt (28W) 4' T8 Lamps Only</v>
          </cell>
          <cell r="D339">
            <v>28</v>
          </cell>
          <cell r="E339">
            <v>1</v>
          </cell>
        </row>
        <row r="340">
          <cell r="A340" t="str">
            <v>Result403</v>
          </cell>
          <cell r="B340">
            <v>1269</v>
          </cell>
          <cell r="C340" t="str">
            <v>Industrial Multi-CFL 9-Lamp (400W HID base)</v>
          </cell>
          <cell r="D340">
            <v>318</v>
          </cell>
          <cell r="E340">
            <v>30</v>
          </cell>
        </row>
        <row r="341">
          <cell r="A341" t="str">
            <v>Result404</v>
          </cell>
          <cell r="B341">
            <v>1268</v>
          </cell>
          <cell r="C341" t="str">
            <v>Industrial Multi-CFL 9-Lamp (400W HID base)</v>
          </cell>
          <cell r="D341">
            <v>318</v>
          </cell>
          <cell r="E341">
            <v>15</v>
          </cell>
        </row>
        <row r="342">
          <cell r="A342" t="str">
            <v>Result405</v>
          </cell>
          <cell r="B342">
            <v>438</v>
          </cell>
          <cell r="C342" t="str">
            <v>3' F25T8 4-Lamp</v>
          </cell>
          <cell r="D342">
            <v>85</v>
          </cell>
          <cell r="E342">
            <v>15</v>
          </cell>
        </row>
        <row r="343">
          <cell r="A343" t="str">
            <v>Result406</v>
          </cell>
          <cell r="B343">
            <v>439</v>
          </cell>
          <cell r="C343" t="str">
            <v>3' F258 w/refl 4-Lamp</v>
          </cell>
          <cell r="D343">
            <v>85</v>
          </cell>
          <cell r="E343">
            <v>19</v>
          </cell>
        </row>
        <row r="344">
          <cell r="A344" t="str">
            <v>Result407</v>
          </cell>
          <cell r="B344">
            <v>445</v>
          </cell>
          <cell r="C344" t="str">
            <v>4' F32T8 HBF w/refl  High Bay application 1-Lamp</v>
          </cell>
          <cell r="D344">
            <v>37</v>
          </cell>
          <cell r="E344">
            <v>8</v>
          </cell>
        </row>
        <row r="345">
          <cell r="A345" t="str">
            <v>Result408</v>
          </cell>
          <cell r="B345">
            <v>447</v>
          </cell>
          <cell r="C345" t="str">
            <v>4' F32T8 HBF w/refl  High Bay application 2-Lamp</v>
          </cell>
          <cell r="D345">
            <v>72</v>
          </cell>
          <cell r="E345">
            <v>15</v>
          </cell>
        </row>
        <row r="346">
          <cell r="A346" t="str">
            <v>Result409</v>
          </cell>
          <cell r="B346">
            <v>449</v>
          </cell>
          <cell r="C346" t="str">
            <v>4' F32T8 HBF w/refl  High Bay application 3-Lamp</v>
          </cell>
          <cell r="D346">
            <v>107</v>
          </cell>
          <cell r="E346">
            <v>50</v>
          </cell>
        </row>
        <row r="347">
          <cell r="A347" t="str">
            <v>Result41</v>
          </cell>
          <cell r="B347">
            <v>8040</v>
          </cell>
          <cell r="C347" t="str">
            <v>6' - F72T12 HO 2-Lamp</v>
          </cell>
          <cell r="D347">
            <v>195</v>
          </cell>
        </row>
        <row r="348">
          <cell r="A348" t="str">
            <v>Result410</v>
          </cell>
          <cell r="B348">
            <v>446</v>
          </cell>
          <cell r="C348" t="str">
            <v>4' F32T8 HBF w/refl  High Bay application 1-Lamp</v>
          </cell>
          <cell r="D348">
            <v>37</v>
          </cell>
          <cell r="E348">
            <v>4</v>
          </cell>
        </row>
        <row r="349">
          <cell r="A349" t="str">
            <v>Result411</v>
          </cell>
          <cell r="B349">
            <v>448</v>
          </cell>
          <cell r="C349" t="str">
            <v>4' F32T8 HBF w/refl  High Bay application 2-Lamp</v>
          </cell>
          <cell r="D349">
            <v>72</v>
          </cell>
          <cell r="E349">
            <v>7.5</v>
          </cell>
        </row>
        <row r="350">
          <cell r="A350" t="str">
            <v>Result412</v>
          </cell>
          <cell r="B350">
            <v>450</v>
          </cell>
          <cell r="C350" t="str">
            <v>4' F32T8 HBF w/refl  High Bay application 3-Lamp</v>
          </cell>
          <cell r="D350">
            <v>107</v>
          </cell>
          <cell r="E350">
            <v>15</v>
          </cell>
        </row>
        <row r="351">
          <cell r="A351" t="str">
            <v>Result413</v>
          </cell>
          <cell r="B351">
            <v>440</v>
          </cell>
          <cell r="C351" t="str">
            <v>4' F32 Super T8 6-Lamp</v>
          </cell>
          <cell r="D351">
            <v>159</v>
          </cell>
          <cell r="E351">
            <v>31</v>
          </cell>
        </row>
        <row r="352">
          <cell r="A352" t="str">
            <v>Result414</v>
          </cell>
          <cell r="B352">
            <v>451</v>
          </cell>
          <cell r="C352" t="str">
            <v>4' F32 Super T8 1-Lamp</v>
          </cell>
          <cell r="D352">
            <v>26</v>
          </cell>
          <cell r="E352">
            <v>1.75</v>
          </cell>
        </row>
        <row r="353">
          <cell r="A353" t="str">
            <v>Result415</v>
          </cell>
          <cell r="B353">
            <v>452</v>
          </cell>
          <cell r="C353" t="str">
            <v>4' F32 Super T8 2-Lamp</v>
          </cell>
          <cell r="D353">
            <v>53</v>
          </cell>
          <cell r="E353">
            <v>1.75</v>
          </cell>
        </row>
        <row r="354">
          <cell r="A354" t="str">
            <v>Result416</v>
          </cell>
          <cell r="B354">
            <v>453</v>
          </cell>
          <cell r="C354" t="str">
            <v>4' F32 Super T8 3-Lamp</v>
          </cell>
          <cell r="D354">
            <v>80</v>
          </cell>
          <cell r="E354">
            <v>2.25</v>
          </cell>
        </row>
        <row r="355">
          <cell r="A355" t="str">
            <v>Result417</v>
          </cell>
          <cell r="B355">
            <v>454</v>
          </cell>
          <cell r="C355" t="str">
            <v>4' F32 Super T8 4-Lamp</v>
          </cell>
          <cell r="D355">
            <v>106</v>
          </cell>
          <cell r="E355">
            <v>2.25</v>
          </cell>
        </row>
        <row r="356">
          <cell r="A356" t="str">
            <v>Result418</v>
          </cell>
          <cell r="B356">
            <v>455</v>
          </cell>
          <cell r="C356" t="str">
            <v>4' F32 Super T8 6-Lamp</v>
          </cell>
          <cell r="D356">
            <v>159</v>
          </cell>
          <cell r="E356">
            <v>2.75</v>
          </cell>
        </row>
        <row r="357">
          <cell r="A357" t="str">
            <v>Result419</v>
          </cell>
          <cell r="B357">
            <v>444</v>
          </cell>
          <cell r="C357" t="str">
            <v>4' F32 Super T8 w/refl 3-Lamp</v>
          </cell>
          <cell r="D357">
            <v>80</v>
          </cell>
          <cell r="E357">
            <v>24</v>
          </cell>
        </row>
        <row r="358">
          <cell r="A358" t="str">
            <v>Result42</v>
          </cell>
          <cell r="B358">
            <v>8041</v>
          </cell>
          <cell r="C358" t="str">
            <v>6' - F72T12 HO 3-Lamp</v>
          </cell>
          <cell r="D358">
            <v>265</v>
          </cell>
        </row>
        <row r="359">
          <cell r="A359" t="str">
            <v>Result420</v>
          </cell>
          <cell r="B359">
            <v>441</v>
          </cell>
          <cell r="C359" t="str">
            <v>4' F32 Super T8 w/refl 4-Lamp</v>
          </cell>
          <cell r="D359">
            <v>106</v>
          </cell>
          <cell r="E359">
            <v>24</v>
          </cell>
        </row>
        <row r="360">
          <cell r="A360" t="str">
            <v>Result421</v>
          </cell>
          <cell r="B360">
            <v>442</v>
          </cell>
          <cell r="C360" t="str">
            <v>4' F32 Super T8 w/refl 6-Lamp</v>
          </cell>
          <cell r="D360">
            <v>159</v>
          </cell>
          <cell r="E360">
            <v>35</v>
          </cell>
        </row>
        <row r="361">
          <cell r="A361" t="str">
            <v>Result422</v>
          </cell>
          <cell r="B361">
            <v>443</v>
          </cell>
          <cell r="C361" t="str">
            <v>4' F32 Super T8 w/refl 8-Lamp</v>
          </cell>
          <cell r="D361">
            <v>212</v>
          </cell>
          <cell r="E361">
            <v>44</v>
          </cell>
        </row>
        <row r="362">
          <cell r="A362" t="str">
            <v>Result423</v>
          </cell>
          <cell r="B362">
            <v>456</v>
          </cell>
          <cell r="C362" t="str">
            <v>4' F32 Super T8 w/refl 3-Lamp</v>
          </cell>
          <cell r="D362">
            <v>80</v>
          </cell>
          <cell r="E362">
            <v>3.75</v>
          </cell>
        </row>
        <row r="363">
          <cell r="A363" t="str">
            <v>Result424</v>
          </cell>
          <cell r="B363">
            <v>457</v>
          </cell>
          <cell r="C363" t="str">
            <v>4' F32 Super T8 w/refl 4-Lamp</v>
          </cell>
          <cell r="D363">
            <v>106</v>
          </cell>
          <cell r="E363">
            <v>4.25</v>
          </cell>
        </row>
        <row r="364">
          <cell r="A364" t="str">
            <v>Result425</v>
          </cell>
          <cell r="B364">
            <v>458</v>
          </cell>
          <cell r="C364" t="str">
            <v>4' F32 Super T8 w/refl 6-Lamp</v>
          </cell>
          <cell r="D364">
            <v>159</v>
          </cell>
          <cell r="E364">
            <v>4.75</v>
          </cell>
        </row>
        <row r="365">
          <cell r="A365" t="str">
            <v>Result426</v>
          </cell>
          <cell r="B365">
            <v>459</v>
          </cell>
          <cell r="C365" t="str">
            <v>4' F32 Super T8 w/refl 8-Lamp</v>
          </cell>
          <cell r="D365">
            <v>212</v>
          </cell>
          <cell r="E365">
            <v>6.75</v>
          </cell>
        </row>
        <row r="366">
          <cell r="A366" t="str">
            <v>Result427</v>
          </cell>
          <cell r="B366">
            <v>967</v>
          </cell>
          <cell r="C366" t="str">
            <v>575W PS MH 1-Lamp</v>
          </cell>
          <cell r="D366">
            <v>620</v>
          </cell>
          <cell r="E366">
            <v>85</v>
          </cell>
        </row>
        <row r="367">
          <cell r="A367" t="str">
            <v>Result428</v>
          </cell>
          <cell r="B367">
            <v>966</v>
          </cell>
          <cell r="C367" t="str">
            <v>575W PS MH 1-Lamp</v>
          </cell>
          <cell r="D367">
            <v>620</v>
          </cell>
          <cell r="E367">
            <v>20</v>
          </cell>
        </row>
        <row r="368">
          <cell r="A368" t="str">
            <v>Result429</v>
          </cell>
          <cell r="B368">
            <v>1607</v>
          </cell>
          <cell r="C368" t="str">
            <v>150-199W Induction Lamp (250W HID base)</v>
          </cell>
          <cell r="D368">
            <v>150</v>
          </cell>
          <cell r="E368">
            <v>60</v>
          </cell>
        </row>
        <row r="369">
          <cell r="A369" t="str">
            <v>Result43</v>
          </cell>
          <cell r="B369">
            <v>8042</v>
          </cell>
          <cell r="C369" t="str">
            <v>6' - F72T12 HO 4-Lamp</v>
          </cell>
          <cell r="D369">
            <v>330</v>
          </cell>
        </row>
        <row r="370">
          <cell r="A370" t="str">
            <v>Result430</v>
          </cell>
          <cell r="B370">
            <v>1609</v>
          </cell>
          <cell r="C370" t="str">
            <v>200-299W Induction Lamp (400W HID base)</v>
          </cell>
          <cell r="D370">
            <v>225</v>
          </cell>
          <cell r="E370">
            <v>100</v>
          </cell>
        </row>
        <row r="371">
          <cell r="A371" t="str">
            <v>Result431</v>
          </cell>
          <cell r="B371">
            <v>1611</v>
          </cell>
          <cell r="C371" t="str">
            <v>300-400W Induction Lamp (1000W HID base)</v>
          </cell>
          <cell r="D371">
            <v>350</v>
          </cell>
          <cell r="E371">
            <v>100</v>
          </cell>
        </row>
        <row r="372">
          <cell r="A372" t="str">
            <v>Result432</v>
          </cell>
          <cell r="B372">
            <v>1606</v>
          </cell>
          <cell r="C372" t="str">
            <v>150-199W Induction Lamp (250W HID base)</v>
          </cell>
          <cell r="D372">
            <v>150</v>
          </cell>
          <cell r="E372">
            <v>30</v>
          </cell>
        </row>
        <row r="373">
          <cell r="A373" t="str">
            <v>Result433</v>
          </cell>
          <cell r="B373">
            <v>1608</v>
          </cell>
          <cell r="C373" t="str">
            <v>200-299W Induction Lamp (400W HID base)</v>
          </cell>
          <cell r="D373">
            <v>225</v>
          </cell>
          <cell r="E373">
            <v>50</v>
          </cell>
        </row>
        <row r="374">
          <cell r="A374" t="str">
            <v>Result434</v>
          </cell>
          <cell r="B374">
            <v>1610</v>
          </cell>
          <cell r="C374" t="str">
            <v>300-400W Induction Lamp (1000W HID base)</v>
          </cell>
          <cell r="D374">
            <v>350</v>
          </cell>
          <cell r="E374">
            <v>50</v>
          </cell>
        </row>
        <row r="375">
          <cell r="A375" t="str">
            <v>Result435</v>
          </cell>
          <cell r="B375">
            <v>8098</v>
          </cell>
          <cell r="C375" t="str">
            <v>575W Incandescent</v>
          </cell>
          <cell r="D375">
            <v>575</v>
          </cell>
        </row>
        <row r="376">
          <cell r="A376" t="str">
            <v>Result436</v>
          </cell>
          <cell r="B376">
            <v>2084</v>
          </cell>
          <cell r="C376" t="str">
            <v>28W T5 1-Lamp</v>
          </cell>
          <cell r="D376">
            <v>29</v>
          </cell>
          <cell r="E376">
            <v>10</v>
          </cell>
        </row>
        <row r="377">
          <cell r="A377" t="str">
            <v>Result437</v>
          </cell>
          <cell r="B377">
            <v>2085</v>
          </cell>
          <cell r="C377" t="str">
            <v>28W T5 1-Lamp</v>
          </cell>
          <cell r="D377">
            <v>29</v>
          </cell>
          <cell r="E377">
            <v>2</v>
          </cell>
        </row>
        <row r="378">
          <cell r="A378" t="str">
            <v>Result438</v>
          </cell>
          <cell r="B378">
            <v>2076</v>
          </cell>
          <cell r="C378" t="str">
            <v>28W T5 2-Lamp</v>
          </cell>
          <cell r="D378">
            <v>58</v>
          </cell>
          <cell r="E378">
            <v>10</v>
          </cell>
        </row>
        <row r="379">
          <cell r="A379" t="str">
            <v>Result439</v>
          </cell>
          <cell r="B379">
            <v>2077</v>
          </cell>
          <cell r="C379" t="str">
            <v>28W T5 2-Lamp</v>
          </cell>
          <cell r="D379">
            <v>58</v>
          </cell>
          <cell r="E379">
            <v>2</v>
          </cell>
        </row>
        <row r="380">
          <cell r="A380" t="str">
            <v>Result44</v>
          </cell>
          <cell r="B380">
            <v>8043</v>
          </cell>
          <cell r="C380" t="str">
            <v>6' - F72T12 VHO 1-Lamp</v>
          </cell>
          <cell r="D380">
            <v>180</v>
          </cell>
        </row>
        <row r="381">
          <cell r="A381" t="str">
            <v>Result440</v>
          </cell>
          <cell r="B381">
            <v>2078</v>
          </cell>
          <cell r="C381" t="str">
            <v>28W T5 3-Lamp</v>
          </cell>
          <cell r="D381">
            <v>96</v>
          </cell>
          <cell r="E381">
            <v>16</v>
          </cell>
        </row>
        <row r="382">
          <cell r="A382" t="str">
            <v>Result441</v>
          </cell>
          <cell r="B382">
            <v>2079</v>
          </cell>
          <cell r="C382" t="str">
            <v>28W T5 3-Lamp</v>
          </cell>
          <cell r="D382">
            <v>96</v>
          </cell>
          <cell r="E382">
            <v>2.5</v>
          </cell>
        </row>
        <row r="383">
          <cell r="A383" t="str">
            <v>Result442</v>
          </cell>
          <cell r="B383">
            <v>2080</v>
          </cell>
          <cell r="C383" t="str">
            <v>28W T5 4-Lamp</v>
          </cell>
          <cell r="D383">
            <v>116</v>
          </cell>
          <cell r="E383">
            <v>16</v>
          </cell>
        </row>
        <row r="384">
          <cell r="A384" t="str">
            <v>Result443</v>
          </cell>
          <cell r="B384">
            <v>2081</v>
          </cell>
          <cell r="C384" t="str">
            <v>28W T5 4-Lamp</v>
          </cell>
          <cell r="D384">
            <v>116</v>
          </cell>
          <cell r="E384">
            <v>2.5</v>
          </cell>
        </row>
        <row r="385">
          <cell r="A385" t="str">
            <v>Result444</v>
          </cell>
          <cell r="B385">
            <v>2082</v>
          </cell>
          <cell r="C385" t="str">
            <v>24W HO T5 3-Lamp</v>
          </cell>
          <cell r="D385">
            <v>82</v>
          </cell>
          <cell r="E385">
            <v>8</v>
          </cell>
        </row>
        <row r="386">
          <cell r="A386" t="str">
            <v>Result445</v>
          </cell>
          <cell r="B386">
            <v>2083</v>
          </cell>
          <cell r="C386" t="str">
            <v>24W HO T5 3-Lamp</v>
          </cell>
          <cell r="D386">
            <v>82</v>
          </cell>
          <cell r="E386">
            <v>4</v>
          </cell>
        </row>
        <row r="387">
          <cell r="A387" t="str">
            <v>Result446</v>
          </cell>
          <cell r="B387">
            <v>1503</v>
          </cell>
          <cell r="C387" t="str">
            <v>Energy Star LED Fixture</v>
          </cell>
          <cell r="E387">
            <v>30</v>
          </cell>
        </row>
        <row r="388">
          <cell r="A388" t="str">
            <v>Result447</v>
          </cell>
          <cell r="B388">
            <v>1502</v>
          </cell>
          <cell r="C388" t="str">
            <v>Energy Star LED Fixture</v>
          </cell>
          <cell r="E388">
            <v>30</v>
          </cell>
        </row>
        <row r="389">
          <cell r="A389" t="str">
            <v>Result448</v>
          </cell>
          <cell r="B389">
            <v>477</v>
          </cell>
          <cell r="C389" t="str">
            <v>Low Watt (25W) 4' T8 Lamps Only</v>
          </cell>
          <cell r="D389">
            <v>25</v>
          </cell>
          <cell r="E389">
            <v>1.5</v>
          </cell>
        </row>
        <row r="390">
          <cell r="A390" t="str">
            <v>Result449</v>
          </cell>
          <cell r="B390">
            <v>478</v>
          </cell>
          <cell r="C390" t="str">
            <v>Low Watt (25W) 4' T8 Lamps Only</v>
          </cell>
          <cell r="D390">
            <v>25</v>
          </cell>
          <cell r="E390">
            <v>1.5</v>
          </cell>
        </row>
        <row r="391">
          <cell r="A391" t="str">
            <v>Result45</v>
          </cell>
          <cell r="B391">
            <v>8044</v>
          </cell>
          <cell r="C391" t="str">
            <v>6' - F72T12 VHO 2-Lamp</v>
          </cell>
          <cell r="D391">
            <v>300</v>
          </cell>
        </row>
        <row r="392">
          <cell r="A392" t="str">
            <v>Result450</v>
          </cell>
          <cell r="B392">
            <v>473</v>
          </cell>
          <cell r="C392" t="str">
            <v>4' F32 Super T8/Reflectors (ceiling height &gt; 15')</v>
          </cell>
          <cell r="D392">
            <v>159</v>
          </cell>
          <cell r="E392">
            <v>70</v>
          </cell>
        </row>
        <row r="393">
          <cell r="A393" t="str">
            <v>Result46</v>
          </cell>
          <cell r="B393">
            <v>8045</v>
          </cell>
          <cell r="C393" t="str">
            <v>6' - F72T12 VHO 3-Lamp</v>
          </cell>
          <cell r="D393">
            <v>450</v>
          </cell>
        </row>
        <row r="394">
          <cell r="A394" t="str">
            <v>Result47</v>
          </cell>
          <cell r="B394">
            <v>8046</v>
          </cell>
          <cell r="C394" t="str">
            <v>8' - F96T12 75W 1-Lamp</v>
          </cell>
          <cell r="D394">
            <v>100</v>
          </cell>
        </row>
        <row r="395">
          <cell r="A395" t="str">
            <v>Result48</v>
          </cell>
          <cell r="B395">
            <v>8047</v>
          </cell>
          <cell r="C395" t="str">
            <v>8' - F96T12 75W 2-Lamp</v>
          </cell>
          <cell r="D395">
            <v>180</v>
          </cell>
        </row>
        <row r="396">
          <cell r="A396" t="str">
            <v>Result49</v>
          </cell>
          <cell r="B396">
            <v>8048</v>
          </cell>
          <cell r="C396" t="str">
            <v>8' - F96T12 60W 1-Lamp</v>
          </cell>
          <cell r="D396">
            <v>83</v>
          </cell>
        </row>
        <row r="397">
          <cell r="A397" t="str">
            <v>Result5</v>
          </cell>
          <cell r="B397">
            <v>8004</v>
          </cell>
          <cell r="C397" t="str">
            <v>3' - F30T12 30W 1-Lamp</v>
          </cell>
          <cell r="D397">
            <v>43</v>
          </cell>
        </row>
        <row r="398">
          <cell r="A398" t="str">
            <v>Result50</v>
          </cell>
          <cell r="B398">
            <v>8049</v>
          </cell>
          <cell r="C398" t="str">
            <v>8' - F96T12 60W 2-Lamp</v>
          </cell>
          <cell r="D398">
            <v>123</v>
          </cell>
        </row>
        <row r="399">
          <cell r="A399" t="str">
            <v>Result51</v>
          </cell>
          <cell r="B399">
            <v>8050</v>
          </cell>
          <cell r="C399" t="str">
            <v>8' - F96T12 HO 110W 1-Lamp</v>
          </cell>
          <cell r="D399">
            <v>139</v>
          </cell>
        </row>
        <row r="400">
          <cell r="A400" t="str">
            <v>Result52</v>
          </cell>
          <cell r="B400">
            <v>8051</v>
          </cell>
          <cell r="C400" t="str">
            <v>8' - F96T12 HO 110W 2-Lamp</v>
          </cell>
          <cell r="D400">
            <v>257</v>
          </cell>
        </row>
        <row r="401">
          <cell r="A401" t="str">
            <v>Result53</v>
          </cell>
          <cell r="B401">
            <v>8052</v>
          </cell>
          <cell r="C401" t="str">
            <v>8' - F96T12 HO 110W 3-Lamp</v>
          </cell>
          <cell r="D401">
            <v>330</v>
          </cell>
        </row>
        <row r="402">
          <cell r="A402" t="str">
            <v>Result54</v>
          </cell>
          <cell r="B402">
            <v>8053</v>
          </cell>
          <cell r="C402" t="str">
            <v>8' - F96T12 HO 95W 1-Lamp</v>
          </cell>
          <cell r="D402">
            <v>125</v>
          </cell>
        </row>
        <row r="403">
          <cell r="A403" t="str">
            <v>Result55</v>
          </cell>
          <cell r="B403">
            <v>8054</v>
          </cell>
          <cell r="C403" t="str">
            <v>8' - F96T12 HO 95W 2-Lamp</v>
          </cell>
          <cell r="D403">
            <v>227</v>
          </cell>
        </row>
        <row r="404">
          <cell r="A404" t="str">
            <v>Result56</v>
          </cell>
          <cell r="B404">
            <v>8055</v>
          </cell>
          <cell r="C404" t="str">
            <v>8' - F96T12 VHO 215W 1-Lamp</v>
          </cell>
          <cell r="D404">
            <v>230</v>
          </cell>
        </row>
        <row r="405">
          <cell r="A405" t="str">
            <v>Result57</v>
          </cell>
          <cell r="B405">
            <v>8056</v>
          </cell>
          <cell r="C405" t="str">
            <v>8' - F96T12 VHO 215W 2-Lamp</v>
          </cell>
          <cell r="D405">
            <v>375</v>
          </cell>
        </row>
        <row r="406">
          <cell r="A406" t="str">
            <v>Result58</v>
          </cell>
          <cell r="B406">
            <v>8057</v>
          </cell>
          <cell r="C406" t="str">
            <v>8' - F96T12 VHO 215W 3-Lamp</v>
          </cell>
          <cell r="D406">
            <v>570</v>
          </cell>
        </row>
        <row r="407">
          <cell r="A407" t="str">
            <v>Result59</v>
          </cell>
          <cell r="B407">
            <v>8058</v>
          </cell>
          <cell r="C407" t="str">
            <v>8' - F96T12 VHO 185W 1-Lamp</v>
          </cell>
          <cell r="D407">
            <v>200</v>
          </cell>
        </row>
        <row r="408">
          <cell r="A408" t="str">
            <v>Result6</v>
          </cell>
          <cell r="B408">
            <v>8005</v>
          </cell>
          <cell r="C408" t="str">
            <v>3' - F30T12 30W 2-Lamp</v>
          </cell>
          <cell r="D408">
            <v>70</v>
          </cell>
        </row>
        <row r="409">
          <cell r="A409" t="str">
            <v>Result60</v>
          </cell>
          <cell r="B409">
            <v>8059</v>
          </cell>
          <cell r="C409" t="str">
            <v>8' - F96T12 VHO 185W 2-Lamp</v>
          </cell>
          <cell r="D409">
            <v>325</v>
          </cell>
        </row>
        <row r="410">
          <cell r="A410" t="str">
            <v>Result61</v>
          </cell>
          <cell r="B410">
            <v>8095</v>
          </cell>
          <cell r="C410" t="str">
            <v>6W Incandescent</v>
          </cell>
          <cell r="D410">
            <v>6</v>
          </cell>
        </row>
        <row r="411">
          <cell r="A411" t="str">
            <v>Result62</v>
          </cell>
          <cell r="B411">
            <v>8060</v>
          </cell>
          <cell r="C411" t="str">
            <v>40W Incandescent</v>
          </cell>
          <cell r="D411">
            <v>40</v>
          </cell>
        </row>
        <row r="412">
          <cell r="A412" t="str">
            <v>Result63</v>
          </cell>
          <cell r="B412">
            <v>8061</v>
          </cell>
          <cell r="C412" t="str">
            <v>60W Incandescent</v>
          </cell>
          <cell r="D412">
            <v>60</v>
          </cell>
        </row>
        <row r="413">
          <cell r="A413" t="str">
            <v>Result64</v>
          </cell>
          <cell r="B413">
            <v>8062</v>
          </cell>
          <cell r="C413" t="str">
            <v>75W Incandescent</v>
          </cell>
          <cell r="D413">
            <v>75</v>
          </cell>
        </row>
        <row r="414">
          <cell r="A414" t="str">
            <v>Result65</v>
          </cell>
          <cell r="B414">
            <v>8063</v>
          </cell>
          <cell r="C414" t="str">
            <v>100W Incandescent</v>
          </cell>
          <cell r="D414">
            <v>100</v>
          </cell>
        </row>
        <row r="415">
          <cell r="A415" t="str">
            <v>Result66</v>
          </cell>
          <cell r="B415">
            <v>8064</v>
          </cell>
          <cell r="C415" t="str">
            <v>150W Incandescent</v>
          </cell>
          <cell r="D415">
            <v>150</v>
          </cell>
        </row>
        <row r="416">
          <cell r="A416" t="str">
            <v>Result67</v>
          </cell>
          <cell r="B416">
            <v>8065</v>
          </cell>
          <cell r="C416" t="str">
            <v>200W Incandescent</v>
          </cell>
          <cell r="D416">
            <v>200</v>
          </cell>
        </row>
        <row r="417">
          <cell r="A417" t="str">
            <v>Result68</v>
          </cell>
          <cell r="B417">
            <v>8066</v>
          </cell>
          <cell r="C417" t="str">
            <v>300W Incandescent</v>
          </cell>
          <cell r="D417">
            <v>300</v>
          </cell>
        </row>
        <row r="418">
          <cell r="A418" t="str">
            <v>Result69</v>
          </cell>
          <cell r="B418">
            <v>8067</v>
          </cell>
          <cell r="C418" t="str">
            <v>500W Incandescent</v>
          </cell>
          <cell r="D418">
            <v>500</v>
          </cell>
        </row>
        <row r="419">
          <cell r="A419" t="str">
            <v>Result7</v>
          </cell>
          <cell r="B419">
            <v>8006</v>
          </cell>
          <cell r="C419" t="str">
            <v>3' - F30T12 30W 3-Lamp</v>
          </cell>
          <cell r="D419">
            <v>113</v>
          </cell>
        </row>
        <row r="420">
          <cell r="A420" t="str">
            <v>Result70</v>
          </cell>
          <cell r="B420">
            <v>8068</v>
          </cell>
          <cell r="C420" t="str">
            <v>750W Incandescent</v>
          </cell>
          <cell r="D420">
            <v>750</v>
          </cell>
        </row>
        <row r="421">
          <cell r="A421" t="str">
            <v>Result71</v>
          </cell>
          <cell r="B421">
            <v>8069</v>
          </cell>
          <cell r="C421" t="str">
            <v>1000W Incandescent</v>
          </cell>
          <cell r="D421">
            <v>1000</v>
          </cell>
        </row>
        <row r="422">
          <cell r="A422" t="str">
            <v>Result72</v>
          </cell>
          <cell r="B422">
            <v>8070</v>
          </cell>
          <cell r="C422" t="str">
            <v>1500W Incandescent</v>
          </cell>
          <cell r="D422">
            <v>1500</v>
          </cell>
        </row>
        <row r="423">
          <cell r="A423" t="str">
            <v>Result73</v>
          </cell>
          <cell r="B423">
            <v>2051</v>
          </cell>
          <cell r="C423" t="str">
            <v>48W HO T5 w/refl 4-Lamp (400 W HID base)</v>
          </cell>
          <cell r="D423">
            <v>224</v>
          </cell>
          <cell r="E423">
            <v>75</v>
          </cell>
        </row>
        <row r="424">
          <cell r="A424" t="str">
            <v>Result74</v>
          </cell>
          <cell r="B424">
            <v>2075</v>
          </cell>
          <cell r="C424" t="str">
            <v>54W HO T5 w/refl 2-Lamp (2-lamp 8' T12 HO base)</v>
          </cell>
          <cell r="D424">
            <v>124</v>
          </cell>
          <cell r="E424">
            <v>27.5</v>
          </cell>
        </row>
        <row r="425">
          <cell r="A425" t="str">
            <v>Result75</v>
          </cell>
          <cell r="B425">
            <v>2055</v>
          </cell>
          <cell r="C425" t="str">
            <v>54W HO T5 w/refl 10-Lamp (1000 W HID base)</v>
          </cell>
          <cell r="D425">
            <v>548</v>
          </cell>
          <cell r="E425">
            <v>125</v>
          </cell>
        </row>
        <row r="426">
          <cell r="A426" t="str">
            <v>Result76</v>
          </cell>
          <cell r="B426">
            <v>2049</v>
          </cell>
          <cell r="C426" t="str">
            <v>80 Watt HO T5 4-Lamp</v>
          </cell>
          <cell r="D426">
            <v>368</v>
          </cell>
          <cell r="E426">
            <v>14</v>
          </cell>
        </row>
        <row r="427">
          <cell r="A427" t="str">
            <v>Result77</v>
          </cell>
          <cell r="B427">
            <v>2050</v>
          </cell>
          <cell r="C427" t="str">
            <v>48W HO T5 w/refl 4-Lamp (400 W HID base)</v>
          </cell>
          <cell r="D427">
            <v>224</v>
          </cell>
          <cell r="E427">
            <v>20</v>
          </cell>
        </row>
        <row r="428">
          <cell r="A428" t="str">
            <v>Result78</v>
          </cell>
          <cell r="B428">
            <v>2074</v>
          </cell>
          <cell r="C428" t="str">
            <v>54W HO T5 w/refl 2-Lamp (2-lamp 8' T12 HO base)</v>
          </cell>
          <cell r="D428">
            <v>124</v>
          </cell>
          <cell r="E428">
            <v>13.75</v>
          </cell>
        </row>
        <row r="429">
          <cell r="A429" t="str">
            <v>Result79</v>
          </cell>
          <cell r="B429">
            <v>2054</v>
          </cell>
          <cell r="C429" t="str">
            <v>54W HO T5 w/refl 10-Lamp (1000 W HID base)</v>
          </cell>
          <cell r="D429">
            <v>548</v>
          </cell>
          <cell r="E429">
            <v>62.5</v>
          </cell>
        </row>
        <row r="430">
          <cell r="A430" t="str">
            <v>Result8</v>
          </cell>
          <cell r="B430">
            <v>8007</v>
          </cell>
          <cell r="C430" t="str">
            <v>3' - F30T12 30W 4-Lamp</v>
          </cell>
          <cell r="D430">
            <v>138</v>
          </cell>
        </row>
        <row r="431">
          <cell r="A431" t="str">
            <v>Result80</v>
          </cell>
          <cell r="B431">
            <v>2048</v>
          </cell>
          <cell r="C431" t="str">
            <v>80 Watt HO T5 4-Lamp</v>
          </cell>
          <cell r="D431">
            <v>368</v>
          </cell>
          <cell r="E431">
            <v>2</v>
          </cell>
        </row>
        <row r="432">
          <cell r="A432" t="str">
            <v>Result81</v>
          </cell>
          <cell r="B432">
            <v>2065</v>
          </cell>
          <cell r="C432" t="str">
            <v>54 W HO T5 1-Lamp</v>
          </cell>
          <cell r="D432">
            <v>62</v>
          </cell>
          <cell r="E432">
            <v>12.75</v>
          </cell>
        </row>
        <row r="433">
          <cell r="A433" t="str">
            <v>Result82</v>
          </cell>
          <cell r="B433">
            <v>2063</v>
          </cell>
          <cell r="C433" t="str">
            <v>55 W HO T5 2-Lamp</v>
          </cell>
          <cell r="D433">
            <v>124</v>
          </cell>
          <cell r="E433">
            <v>25.5</v>
          </cell>
        </row>
        <row r="434">
          <cell r="A434" t="str">
            <v>Result83</v>
          </cell>
          <cell r="B434">
            <v>2069</v>
          </cell>
          <cell r="C434" t="str">
            <v>56 W HO T5 3-Lamp</v>
          </cell>
          <cell r="D434">
            <v>186</v>
          </cell>
          <cell r="E434">
            <v>65</v>
          </cell>
        </row>
        <row r="435">
          <cell r="A435" t="str">
            <v>Result84</v>
          </cell>
          <cell r="B435">
            <v>2057</v>
          </cell>
          <cell r="C435" t="str">
            <v>57 W HO T5 4-Lamp</v>
          </cell>
          <cell r="D435">
            <v>248</v>
          </cell>
          <cell r="E435">
            <v>51</v>
          </cell>
        </row>
        <row r="436">
          <cell r="A436" t="str">
            <v>Result85</v>
          </cell>
          <cell r="B436">
            <v>2071</v>
          </cell>
          <cell r="C436" t="str">
            <v>54W HO T5 w/refl 3-Lamp (400 W HID base)</v>
          </cell>
          <cell r="D436">
            <v>186</v>
          </cell>
          <cell r="E436">
            <v>69</v>
          </cell>
        </row>
        <row r="437">
          <cell r="A437" t="str">
            <v>Result86</v>
          </cell>
          <cell r="B437">
            <v>2061</v>
          </cell>
          <cell r="C437" t="str">
            <v>54W HO T5 w/refl 4-Lamp (400 W HID base)</v>
          </cell>
          <cell r="D437">
            <v>248</v>
          </cell>
          <cell r="E437">
            <v>55</v>
          </cell>
        </row>
        <row r="438">
          <cell r="A438" t="str">
            <v>Result87</v>
          </cell>
          <cell r="B438">
            <v>2053</v>
          </cell>
          <cell r="C438" t="str">
            <v>54W HO T5 w/refl 6-Lamp (400 W HID base)</v>
          </cell>
          <cell r="D438">
            <v>251</v>
          </cell>
          <cell r="E438">
            <v>35</v>
          </cell>
        </row>
        <row r="439">
          <cell r="A439" t="str">
            <v>Result88</v>
          </cell>
          <cell r="B439">
            <v>2059</v>
          </cell>
          <cell r="C439" t="str">
            <v>54W HO T5 w/refl 8-Lamp (1000 W HID base)</v>
          </cell>
          <cell r="D439">
            <v>497</v>
          </cell>
          <cell r="E439">
            <v>135</v>
          </cell>
        </row>
        <row r="440">
          <cell r="A440" t="str">
            <v>Result89</v>
          </cell>
          <cell r="B440">
            <v>2067</v>
          </cell>
          <cell r="C440" t="str">
            <v>54W HO T5 w/refl 12-Lamp (1000 W HID base)</v>
          </cell>
          <cell r="D440">
            <v>702</v>
          </cell>
          <cell r="E440">
            <v>95.5</v>
          </cell>
        </row>
        <row r="441">
          <cell r="A441" t="str">
            <v>Result9</v>
          </cell>
          <cell r="B441">
            <v>8008</v>
          </cell>
          <cell r="C441" t="str">
            <v>3' - F30T12 25W 1-Lamp</v>
          </cell>
          <cell r="D441">
            <v>40</v>
          </cell>
        </row>
        <row r="442">
          <cell r="A442" t="str">
            <v>Result90</v>
          </cell>
          <cell r="B442">
            <v>2064</v>
          </cell>
          <cell r="C442" t="str">
            <v>54 W HO T5 1-Lamp</v>
          </cell>
          <cell r="D442">
            <v>62</v>
          </cell>
          <cell r="E442">
            <v>6.5</v>
          </cell>
        </row>
        <row r="443">
          <cell r="A443" t="str">
            <v>Result91</v>
          </cell>
          <cell r="B443">
            <v>2062</v>
          </cell>
          <cell r="C443" t="str">
            <v>55 W HO T5 2-Lamp</v>
          </cell>
          <cell r="D443">
            <v>124</v>
          </cell>
          <cell r="E443">
            <v>12.75</v>
          </cell>
        </row>
        <row r="444">
          <cell r="A444" t="str">
            <v>Result92</v>
          </cell>
          <cell r="B444">
            <v>2068</v>
          </cell>
          <cell r="C444" t="str">
            <v>56 W HO T5 3-Lamp</v>
          </cell>
          <cell r="D444">
            <v>186</v>
          </cell>
          <cell r="E444">
            <v>32.5</v>
          </cell>
        </row>
        <row r="445">
          <cell r="A445" t="str">
            <v>Result93</v>
          </cell>
          <cell r="B445">
            <v>2056</v>
          </cell>
          <cell r="C445" t="str">
            <v>57 W HO T5 4-Lamp</v>
          </cell>
          <cell r="D445">
            <v>248</v>
          </cell>
          <cell r="E445">
            <v>25.5</v>
          </cell>
        </row>
        <row r="446">
          <cell r="A446" t="str">
            <v>Result94</v>
          </cell>
          <cell r="B446">
            <v>2070</v>
          </cell>
          <cell r="C446" t="str">
            <v>54W HO T5 w/refl 3-Lamp (400 W HID base)</v>
          </cell>
          <cell r="D446">
            <v>186</v>
          </cell>
          <cell r="E446">
            <v>34.5</v>
          </cell>
        </row>
        <row r="447">
          <cell r="A447" t="str">
            <v>Result95</v>
          </cell>
          <cell r="B447">
            <v>2060</v>
          </cell>
          <cell r="C447" t="str">
            <v>54W HO T5 w/refl 4-Lamp (400 W HID base)</v>
          </cell>
          <cell r="D447">
            <v>248</v>
          </cell>
          <cell r="E447">
            <v>27.5</v>
          </cell>
        </row>
        <row r="448">
          <cell r="A448" t="str">
            <v>Result96</v>
          </cell>
          <cell r="B448">
            <v>2052</v>
          </cell>
          <cell r="C448" t="str">
            <v>54W HO T5 w/refl 6-Lamp (400 W HID base)</v>
          </cell>
          <cell r="D448">
            <v>351</v>
          </cell>
          <cell r="E448">
            <v>17.5</v>
          </cell>
        </row>
        <row r="449">
          <cell r="A449" t="str">
            <v>Result97</v>
          </cell>
          <cell r="B449">
            <v>2058</v>
          </cell>
          <cell r="C449" t="str">
            <v>54W HO T5 w/refl 8-Lamp (1000 W HID base)</v>
          </cell>
          <cell r="D449">
            <v>497</v>
          </cell>
          <cell r="E449">
            <v>67.5</v>
          </cell>
        </row>
        <row r="450">
          <cell r="A450" t="str">
            <v>Result98</v>
          </cell>
          <cell r="B450">
            <v>2066</v>
          </cell>
          <cell r="C450" t="str">
            <v>54W HO T5 w/refl 12-Lamp (1000 W HID base)</v>
          </cell>
          <cell r="D450">
            <v>702</v>
          </cell>
          <cell r="E450">
            <v>47.75</v>
          </cell>
        </row>
        <row r="451">
          <cell r="A451" t="str">
            <v>Result99</v>
          </cell>
          <cell r="B451">
            <v>901</v>
          </cell>
          <cell r="C451" t="str">
            <v>32W MH 1-Lamp</v>
          </cell>
          <cell r="D451">
            <v>41</v>
          </cell>
          <cell r="E451">
            <v>17</v>
          </cell>
        </row>
        <row r="452">
          <cell r="A452" t="str">
            <v>Result451</v>
          </cell>
          <cell r="B452">
            <v>474</v>
          </cell>
          <cell r="C452" t="str">
            <v>4' F32 Super T8/Reflectors (ceiling height &gt; 15')</v>
          </cell>
          <cell r="D452">
            <v>159</v>
          </cell>
          <cell r="E452">
            <v>35</v>
          </cell>
        </row>
        <row r="453">
          <cell r="A453" t="str">
            <v>Result452</v>
          </cell>
          <cell r="B453">
            <v>8099</v>
          </cell>
          <cell r="C453" t="str">
            <v>250 Watt Metal Halide Lamps Only</v>
          </cell>
          <cell r="D453">
            <v>250</v>
          </cell>
        </row>
        <row r="454">
          <cell r="A454" t="str">
            <v>Result453</v>
          </cell>
          <cell r="B454">
            <v>8100</v>
          </cell>
          <cell r="C454" t="str">
            <v>400 Watt Metal Halide Lamps Only</v>
          </cell>
          <cell r="D454">
            <v>400</v>
          </cell>
        </row>
        <row r="455">
          <cell r="A455" t="str">
            <v>Result454</v>
          </cell>
          <cell r="B455">
            <v>2086</v>
          </cell>
          <cell r="C455" t="str">
            <v>14W T5 HBF (2-lamp F32T8 base)</v>
          </cell>
          <cell r="D455">
            <v>39</v>
          </cell>
          <cell r="E455">
            <v>10</v>
          </cell>
        </row>
        <row r="456">
          <cell r="A456" t="str">
            <v>Result455</v>
          </cell>
          <cell r="B456">
            <v>2087</v>
          </cell>
          <cell r="C456" t="str">
            <v>14W T5 HBF (2-lamp F32T8 base)</v>
          </cell>
          <cell r="D456">
            <v>39</v>
          </cell>
          <cell r="E456">
            <v>2</v>
          </cell>
        </row>
        <row r="457">
          <cell r="A457" t="str">
            <v>Result456</v>
          </cell>
          <cell r="B457">
            <v>983</v>
          </cell>
          <cell r="C457" t="str">
            <v>205W Ceramic Metal Halide Lamp</v>
          </cell>
          <cell r="D457">
            <v>205</v>
          </cell>
          <cell r="E457">
            <v>20</v>
          </cell>
        </row>
        <row r="458">
          <cell r="A458" t="str">
            <v>Result457</v>
          </cell>
          <cell r="B458">
            <v>984</v>
          </cell>
          <cell r="C458" t="str">
            <v>205W Ceramic Metal Halide Lamp</v>
          </cell>
          <cell r="D458">
            <v>205</v>
          </cell>
          <cell r="E458">
            <v>8</v>
          </cell>
        </row>
        <row r="459">
          <cell r="A459" t="str">
            <v>Result458</v>
          </cell>
          <cell r="B459">
            <v>985</v>
          </cell>
          <cell r="C459" t="str">
            <v>330W Ceramic Metal Halide Lamp</v>
          </cell>
          <cell r="D459">
            <v>330</v>
          </cell>
          <cell r="E459">
            <v>20</v>
          </cell>
        </row>
        <row r="460">
          <cell r="A460" t="str">
            <v>Result459</v>
          </cell>
          <cell r="B460">
            <v>986</v>
          </cell>
          <cell r="C460" t="str">
            <v>330W Ceramic Metal Halide Lamp</v>
          </cell>
          <cell r="D460">
            <v>330</v>
          </cell>
          <cell r="E460">
            <v>8</v>
          </cell>
        </row>
        <row r="461">
          <cell r="A461" t="str">
            <v>Result460</v>
          </cell>
          <cell r="B461">
            <v>3001</v>
          </cell>
          <cell r="C461" t="str">
            <v>Exit Sign - LED (incandescent existing)</v>
          </cell>
          <cell r="D461">
            <v>4</v>
          </cell>
          <cell r="E461">
            <v>12</v>
          </cell>
        </row>
        <row r="462">
          <cell r="A462" t="str">
            <v>Result461</v>
          </cell>
          <cell r="B462">
            <v>3002</v>
          </cell>
          <cell r="C462" t="str">
            <v>Exit Sign - LED (CFL existing)</v>
          </cell>
          <cell r="D462">
            <v>4</v>
          </cell>
          <cell r="E462">
            <v>6</v>
          </cell>
        </row>
        <row r="463">
          <cell r="A463" t="str">
            <v>Result462</v>
          </cell>
          <cell r="B463">
            <v>3003</v>
          </cell>
          <cell r="C463" t="str">
            <v>Exit Sign - LEC/Electroluminescent (incandescent existing)</v>
          </cell>
          <cell r="D463">
            <v>1</v>
          </cell>
          <cell r="E463">
            <v>15</v>
          </cell>
        </row>
        <row r="464">
          <cell r="A464" t="str">
            <v>Result463</v>
          </cell>
          <cell r="B464">
            <v>3004</v>
          </cell>
          <cell r="C464" t="str">
            <v>Exit Sign - LEC/Electroluminescent (CFL existing)</v>
          </cell>
          <cell r="D464">
            <v>1</v>
          </cell>
          <cell r="E464">
            <v>10</v>
          </cell>
        </row>
        <row r="465">
          <cell r="A465" t="str">
            <v>Result464</v>
          </cell>
          <cell r="B465">
            <v>3005</v>
          </cell>
          <cell r="C465" t="str">
            <v>Exit Sign - Photoluminescent (incandescent existing)</v>
          </cell>
          <cell r="D465">
            <v>0</v>
          </cell>
          <cell r="E465">
            <v>16</v>
          </cell>
        </row>
        <row r="466">
          <cell r="A466" t="str">
            <v>Result465</v>
          </cell>
          <cell r="B466">
            <v>3006</v>
          </cell>
          <cell r="C466" t="str">
            <v>Exit Sign - Photoluminescent (CFL existing)</v>
          </cell>
          <cell r="D466">
            <v>0</v>
          </cell>
          <cell r="E466">
            <v>11</v>
          </cell>
        </row>
        <row r="467">
          <cell r="A467" t="str">
            <v>Result466</v>
          </cell>
          <cell r="B467">
            <v>8101</v>
          </cell>
          <cell r="C467" t="str">
            <v>54 Watt T5 HO Lamps Only</v>
          </cell>
          <cell r="D467">
            <v>54</v>
          </cell>
        </row>
        <row r="468">
          <cell r="A468" t="str">
            <v>Result467</v>
          </cell>
          <cell r="B468">
            <v>2088</v>
          </cell>
          <cell r="C468" t="str">
            <v>Low-Wattage 49 watt, T5 HO Lamps Only</v>
          </cell>
          <cell r="D468">
            <v>49</v>
          </cell>
          <cell r="E468">
            <v>1.2</v>
          </cell>
        </row>
        <row r="469">
          <cell r="A469" t="str">
            <v>Result468</v>
          </cell>
          <cell r="B469">
            <v>2089</v>
          </cell>
          <cell r="C469" t="str">
            <v>Low-Wattage 49 watt, T5 HO Lamps Only</v>
          </cell>
          <cell r="D469">
            <v>49</v>
          </cell>
          <cell r="E469">
            <v>1.2</v>
          </cell>
        </row>
        <row r="470">
          <cell r="A470" t="str">
            <v>Result469</v>
          </cell>
          <cell r="B470">
            <v>469</v>
          </cell>
          <cell r="C470" t="str">
            <v>4' F32 Super T8 w/refl 2-Lamp</v>
          </cell>
          <cell r="D470">
            <v>53</v>
          </cell>
          <cell r="E470">
            <v>13</v>
          </cell>
        </row>
        <row r="471">
          <cell r="A471" t="str">
            <v>Result470</v>
          </cell>
          <cell r="B471">
            <v>471</v>
          </cell>
          <cell r="C471" t="str">
            <v>4' F32 Super T8 w/refl 1-Lamp</v>
          </cell>
          <cell r="D471">
            <v>26</v>
          </cell>
          <cell r="E471">
            <v>13</v>
          </cell>
        </row>
        <row r="472">
          <cell r="A472" t="str">
            <v>Result471</v>
          </cell>
          <cell r="B472">
            <v>470</v>
          </cell>
          <cell r="C472" t="str">
            <v>4' F32 Super T8 w/refl 2-Lamp</v>
          </cell>
          <cell r="D472">
            <v>53</v>
          </cell>
          <cell r="E472">
            <v>2.75</v>
          </cell>
        </row>
        <row r="473">
          <cell r="A473" t="str">
            <v>Result472</v>
          </cell>
          <cell r="B473">
            <v>472</v>
          </cell>
          <cell r="C473" t="str">
            <v>4' F32 Super T8 w/refl 1-Lamp</v>
          </cell>
          <cell r="D473">
            <v>26</v>
          </cell>
          <cell r="E473">
            <v>2.75</v>
          </cell>
        </row>
        <row r="474">
          <cell r="A474" t="str">
            <v>Result473</v>
          </cell>
          <cell r="B474">
            <v>8097</v>
          </cell>
          <cell r="C474" t="str">
            <v>50W Incandescent</v>
          </cell>
          <cell r="D474">
            <v>50</v>
          </cell>
        </row>
      </sheetData>
      <sheetData sheetId="12">
        <row r="2">
          <cell r="A2" t="str">
            <v>Node1</v>
          </cell>
          <cell r="B2" t="str">
            <v>Equipment Category</v>
          </cell>
        </row>
        <row r="3">
          <cell r="A3" t="str">
            <v>Node2</v>
          </cell>
          <cell r="B3" t="str">
            <v>Equipment Category</v>
          </cell>
          <cell r="C3" t="str">
            <v>Lamp Length</v>
          </cell>
        </row>
        <row r="4">
          <cell r="A4" t="str">
            <v>Node3</v>
          </cell>
          <cell r="B4" t="str">
            <v>Equipment Category</v>
          </cell>
          <cell r="C4" t="str">
            <v>Lamp Length</v>
          </cell>
          <cell r="D4" t="str">
            <v>Description</v>
          </cell>
        </row>
        <row r="5">
          <cell r="A5" t="str">
            <v>Node4</v>
          </cell>
          <cell r="B5" t="str">
            <v>Equipment Category</v>
          </cell>
          <cell r="C5" t="str">
            <v>Lamp Length</v>
          </cell>
          <cell r="D5" t="str">
            <v>Description</v>
          </cell>
          <cell r="E5" t="str">
            <v>Number Of Lamps</v>
          </cell>
        </row>
        <row r="6">
          <cell r="A6" t="str">
            <v>Node5</v>
          </cell>
          <cell r="B6" t="str">
            <v>Equipment Category</v>
          </cell>
          <cell r="C6" t="str">
            <v>Lamp Length</v>
          </cell>
          <cell r="D6" t="str">
            <v>Description</v>
          </cell>
        </row>
        <row r="7">
          <cell r="A7" t="str">
            <v>Node6</v>
          </cell>
          <cell r="B7" t="str">
            <v>Equipment Category</v>
          </cell>
          <cell r="C7" t="str">
            <v>Lamp Length</v>
          </cell>
          <cell r="D7" t="str">
            <v>Description</v>
          </cell>
          <cell r="E7" t="str">
            <v>Number Of Lamps</v>
          </cell>
        </row>
        <row r="8">
          <cell r="A8" t="str">
            <v>Node7</v>
          </cell>
          <cell r="B8" t="str">
            <v>Equipment Category</v>
          </cell>
          <cell r="C8" t="str">
            <v>Lamp Length</v>
          </cell>
          <cell r="D8" t="str">
            <v>Description</v>
          </cell>
          <cell r="E8" t="str">
            <v>Number Of Lamps</v>
          </cell>
        </row>
        <row r="9">
          <cell r="A9" t="str">
            <v>Node8</v>
          </cell>
          <cell r="B9" t="str">
            <v>Equipment Category</v>
          </cell>
          <cell r="C9" t="str">
            <v>Lamp Length</v>
          </cell>
          <cell r="D9" t="str">
            <v>Description</v>
          </cell>
        </row>
        <row r="10">
          <cell r="A10" t="str">
            <v>Node9</v>
          </cell>
          <cell r="B10" t="str">
            <v>Equipment Category</v>
          </cell>
          <cell r="C10" t="str">
            <v>Lamp Length</v>
          </cell>
          <cell r="D10" t="str">
            <v>Description</v>
          </cell>
          <cell r="E10" t="str">
            <v>Number Of Lamps</v>
          </cell>
        </row>
        <row r="11">
          <cell r="A11" t="str">
            <v>Node10</v>
          </cell>
          <cell r="B11" t="str">
            <v>Equipment Category</v>
          </cell>
          <cell r="C11" t="str">
            <v>Lamp Length</v>
          </cell>
          <cell r="D11" t="str">
            <v>Description</v>
          </cell>
          <cell r="E11" t="str">
            <v>Number Of Lamps</v>
          </cell>
        </row>
        <row r="12">
          <cell r="A12" t="str">
            <v>Node11</v>
          </cell>
          <cell r="B12" t="str">
            <v>Equipment Category</v>
          </cell>
          <cell r="C12" t="str">
            <v>Lamp Length</v>
          </cell>
          <cell r="D12" t="str">
            <v>Description</v>
          </cell>
          <cell r="E12" t="str">
            <v>Number Of Lamps</v>
          </cell>
        </row>
        <row r="13">
          <cell r="A13" t="str">
            <v>Node12</v>
          </cell>
          <cell r="B13" t="str">
            <v>Equipment Category</v>
          </cell>
          <cell r="C13" t="str">
            <v>Lamp Length</v>
          </cell>
          <cell r="D13" t="str">
            <v>Description</v>
          </cell>
          <cell r="E13" t="str">
            <v>Number Of Lamps</v>
          </cell>
        </row>
        <row r="14">
          <cell r="A14" t="str">
            <v>Node13</v>
          </cell>
          <cell r="B14" t="str">
            <v>Equipment Category</v>
          </cell>
          <cell r="C14" t="str">
            <v>Lamp Length</v>
          </cell>
          <cell r="D14" t="str">
            <v>Description</v>
          </cell>
          <cell r="E14" t="str">
            <v>Number Of Lamps</v>
          </cell>
        </row>
        <row r="15">
          <cell r="A15" t="str">
            <v>Node14</v>
          </cell>
          <cell r="B15" t="str">
            <v>Equipment Category</v>
          </cell>
          <cell r="C15" t="str">
            <v>Lamp Length</v>
          </cell>
          <cell r="D15" t="str">
            <v>Description</v>
          </cell>
        </row>
        <row r="16">
          <cell r="A16" t="str">
            <v>Node15</v>
          </cell>
          <cell r="B16" t="str">
            <v>Equipment Category</v>
          </cell>
          <cell r="C16" t="str">
            <v>Lamp Length</v>
          </cell>
          <cell r="D16" t="str">
            <v>Description</v>
          </cell>
          <cell r="E16" t="str">
            <v>Number Of Lamps</v>
          </cell>
        </row>
        <row r="17">
          <cell r="A17" t="str">
            <v>Node16</v>
          </cell>
          <cell r="B17" t="str">
            <v>Equipment Category</v>
          </cell>
          <cell r="C17" t="str">
            <v>Lamp Length</v>
          </cell>
          <cell r="D17" t="str">
            <v>Description</v>
          </cell>
          <cell r="E17" t="str">
            <v>Number Of Lamps</v>
          </cell>
        </row>
        <row r="18">
          <cell r="A18" t="str">
            <v>Node17</v>
          </cell>
          <cell r="B18" t="str">
            <v>Equipment Category</v>
          </cell>
          <cell r="C18" t="str">
            <v>Lamp Length</v>
          </cell>
          <cell r="D18" t="str">
            <v>Description</v>
          </cell>
          <cell r="E18" t="str">
            <v>Number Of Lamps</v>
          </cell>
        </row>
        <row r="19">
          <cell r="A19" t="str">
            <v>Node18</v>
          </cell>
          <cell r="B19" t="str">
            <v>Equipment Category</v>
          </cell>
          <cell r="C19" t="str">
            <v>Lamp Length</v>
          </cell>
          <cell r="D19" t="str">
            <v>Description</v>
          </cell>
        </row>
        <row r="20">
          <cell r="A20" t="str">
            <v>Node19</v>
          </cell>
          <cell r="B20" t="str">
            <v>Equipment Category</v>
          </cell>
          <cell r="C20" t="str">
            <v>Lamp Length</v>
          </cell>
          <cell r="D20" t="str">
            <v>Description</v>
          </cell>
          <cell r="E20" t="str">
            <v>Number Of Lamps</v>
          </cell>
        </row>
        <row r="21">
          <cell r="A21" t="str">
            <v>Node20</v>
          </cell>
          <cell r="B21" t="str">
            <v>Equipment Category</v>
          </cell>
          <cell r="C21" t="str">
            <v>Lamp Length</v>
          </cell>
          <cell r="D21" t="str">
            <v>Description</v>
          </cell>
          <cell r="E21" t="str">
            <v>Number Of Lamps</v>
          </cell>
        </row>
        <row r="22">
          <cell r="A22" t="str">
            <v>Node21</v>
          </cell>
          <cell r="B22" t="str">
            <v>Equipment Category</v>
          </cell>
          <cell r="C22" t="str">
            <v>Lamp Length</v>
          </cell>
          <cell r="D22" t="str">
            <v>Description</v>
          </cell>
          <cell r="E22" t="str">
            <v>Number Of Lamps</v>
          </cell>
        </row>
        <row r="23">
          <cell r="A23" t="str">
            <v>Node22</v>
          </cell>
          <cell r="B23" t="str">
            <v>Equipment Category</v>
          </cell>
          <cell r="C23" t="str">
            <v>Lamp Length</v>
          </cell>
          <cell r="D23" t="str">
            <v>Description</v>
          </cell>
        </row>
        <row r="24">
          <cell r="A24" t="str">
            <v>Node23</v>
          </cell>
          <cell r="B24" t="str">
            <v>Equipment Category</v>
          </cell>
          <cell r="C24" t="str">
            <v>Lamp Length</v>
          </cell>
          <cell r="D24" t="str">
            <v>Description</v>
          </cell>
          <cell r="E24" t="str">
            <v>Number Of Lamps</v>
          </cell>
        </row>
        <row r="25">
          <cell r="A25" t="str">
            <v>Node24</v>
          </cell>
          <cell r="B25" t="str">
            <v>Equipment Category</v>
          </cell>
          <cell r="C25" t="str">
            <v>Lamp Length</v>
          </cell>
          <cell r="D25" t="str">
            <v>Description</v>
          </cell>
          <cell r="E25" t="str">
            <v>Number Of Lamps</v>
          </cell>
        </row>
        <row r="26">
          <cell r="A26" t="str">
            <v>Node25</v>
          </cell>
          <cell r="B26" t="str">
            <v>Equipment Category</v>
          </cell>
          <cell r="C26" t="str">
            <v>Lamp Length</v>
          </cell>
          <cell r="D26" t="str">
            <v>Description</v>
          </cell>
          <cell r="E26" t="str">
            <v>Number Of Lamps</v>
          </cell>
        </row>
        <row r="27">
          <cell r="A27" t="str">
            <v>Node26</v>
          </cell>
          <cell r="B27" t="str">
            <v>Equipment Category</v>
          </cell>
          <cell r="C27" t="str">
            <v>Lamp Length</v>
          </cell>
          <cell r="D27" t="str">
            <v>Description</v>
          </cell>
          <cell r="E27" t="str">
            <v>Number Of Lamps</v>
          </cell>
        </row>
        <row r="28">
          <cell r="A28" t="str">
            <v>Node27</v>
          </cell>
          <cell r="B28" t="str">
            <v>Equipment Category</v>
          </cell>
          <cell r="C28" t="str">
            <v>Lamp Length</v>
          </cell>
          <cell r="D28" t="str">
            <v>Description</v>
          </cell>
          <cell r="E28" t="str">
            <v>Number Of Lamps</v>
          </cell>
        </row>
        <row r="29">
          <cell r="A29" t="str">
            <v>Node28</v>
          </cell>
          <cell r="B29" t="str">
            <v>Equipment Category</v>
          </cell>
          <cell r="C29" t="str">
            <v>Lamp Length</v>
          </cell>
          <cell r="D29" t="str">
            <v>Description</v>
          </cell>
          <cell r="E29" t="str">
            <v>Number Of Lamps</v>
          </cell>
        </row>
        <row r="30">
          <cell r="A30" t="str">
            <v>Node29</v>
          </cell>
          <cell r="B30" t="str">
            <v>Equipment Category</v>
          </cell>
          <cell r="C30" t="str">
            <v>Lamp Wattage</v>
          </cell>
        </row>
        <row r="31">
          <cell r="A31" t="str">
            <v>Node30</v>
          </cell>
          <cell r="B31" t="str">
            <v>Equipment Category</v>
          </cell>
          <cell r="C31" t="str">
            <v>Retrofit or New Construction</v>
          </cell>
        </row>
        <row r="32">
          <cell r="A32" t="str">
            <v>Node31</v>
          </cell>
          <cell r="B32" t="str">
            <v>Equipment Category</v>
          </cell>
          <cell r="C32" t="str">
            <v>Retrofit or New Construction</v>
          </cell>
          <cell r="D32" t="str">
            <v>Description</v>
          </cell>
        </row>
        <row r="33">
          <cell r="A33" t="str">
            <v>Node32</v>
          </cell>
          <cell r="B33" t="str">
            <v>Equipment Category</v>
          </cell>
          <cell r="C33" t="str">
            <v>Retrofit or New Construction</v>
          </cell>
          <cell r="D33" t="str">
            <v>Description</v>
          </cell>
        </row>
        <row r="34">
          <cell r="A34" t="str">
            <v>Node33</v>
          </cell>
          <cell r="B34" t="str">
            <v>Equipment Category</v>
          </cell>
          <cell r="C34" t="str">
            <v>Retrofit or New Construction</v>
          </cell>
          <cell r="D34" t="str">
            <v>Description</v>
          </cell>
          <cell r="E34" t="str">
            <v>Number Of Lamps</v>
          </cell>
        </row>
        <row r="35">
          <cell r="A35" t="str">
            <v>Node34</v>
          </cell>
          <cell r="B35" t="str">
            <v>Equipment Category</v>
          </cell>
          <cell r="C35" t="str">
            <v>Retrofit or New Construction</v>
          </cell>
          <cell r="D35" t="str">
            <v>Description</v>
          </cell>
          <cell r="E35" t="str">
            <v>Number Of Lamps</v>
          </cell>
        </row>
        <row r="36">
          <cell r="A36" t="str">
            <v>Node35</v>
          </cell>
          <cell r="B36" t="str">
            <v>Equipment Category</v>
          </cell>
          <cell r="C36" t="str">
            <v>Retrofit or New Construction</v>
          </cell>
          <cell r="D36" t="str">
            <v>Description</v>
          </cell>
          <cell r="E36" t="str">
            <v>Number Of Lamps</v>
          </cell>
        </row>
        <row r="37">
          <cell r="A37" t="str">
            <v>Node36</v>
          </cell>
          <cell r="B37" t="str">
            <v>Equipment Category</v>
          </cell>
          <cell r="C37" t="str">
            <v>Retrofit or New Construction</v>
          </cell>
          <cell r="D37" t="str">
            <v>Description</v>
          </cell>
          <cell r="E37" t="str">
            <v>Number Of Lamps</v>
          </cell>
        </row>
        <row r="38">
          <cell r="A38" t="str">
            <v>Node37</v>
          </cell>
          <cell r="B38" t="str">
            <v>Equipment Category</v>
          </cell>
          <cell r="C38" t="str">
            <v>Retrofit or New Construction</v>
          </cell>
          <cell r="D38" t="str">
            <v>Description</v>
          </cell>
          <cell r="E38" t="str">
            <v>Number Of Lamps</v>
          </cell>
        </row>
        <row r="39">
          <cell r="A39" t="str">
            <v>Node38</v>
          </cell>
          <cell r="B39" t="str">
            <v>Equipment Category</v>
          </cell>
          <cell r="C39" t="str">
            <v>Retrofit or New Construction</v>
          </cell>
          <cell r="D39" t="str">
            <v>Description</v>
          </cell>
          <cell r="E39" t="str">
            <v>Number Of Lamps</v>
          </cell>
        </row>
        <row r="40">
          <cell r="A40" t="str">
            <v>Node39</v>
          </cell>
          <cell r="B40" t="str">
            <v>Equipment Category</v>
          </cell>
          <cell r="C40" t="str">
            <v>Retrofit or New Construction</v>
          </cell>
        </row>
        <row r="41">
          <cell r="A41" t="str">
            <v>Node40</v>
          </cell>
          <cell r="B41" t="str">
            <v>Equipment Category</v>
          </cell>
          <cell r="C41" t="str">
            <v>Retrofit or New Construction</v>
          </cell>
          <cell r="D41" t="str">
            <v>Description</v>
          </cell>
        </row>
        <row r="42">
          <cell r="A42" t="str">
            <v>Node41</v>
          </cell>
          <cell r="B42" t="str">
            <v>Equipment Category</v>
          </cell>
          <cell r="C42" t="str">
            <v>Retrofit or New Construction</v>
          </cell>
          <cell r="D42" t="str">
            <v>Description</v>
          </cell>
        </row>
        <row r="43">
          <cell r="A43" t="str">
            <v>Node42</v>
          </cell>
          <cell r="B43" t="str">
            <v>Equipment Category</v>
          </cell>
          <cell r="C43" t="str">
            <v>Retrofit or New Construction</v>
          </cell>
          <cell r="D43" t="str">
            <v>Description</v>
          </cell>
          <cell r="E43" t="str">
            <v>Number Of Lamps</v>
          </cell>
        </row>
        <row r="44">
          <cell r="A44" t="str">
            <v>Node43</v>
          </cell>
          <cell r="B44" t="str">
            <v>Equipment Category</v>
          </cell>
          <cell r="C44" t="str">
            <v>Retrofit or New Construction</v>
          </cell>
          <cell r="D44" t="str">
            <v>Description</v>
          </cell>
          <cell r="E44" t="str">
            <v>Number Of Lamps</v>
          </cell>
        </row>
        <row r="45">
          <cell r="A45" t="str">
            <v>Node44</v>
          </cell>
          <cell r="B45" t="str">
            <v>Equipment Category</v>
          </cell>
          <cell r="C45" t="str">
            <v>Retrofit or New Construction</v>
          </cell>
          <cell r="D45" t="str">
            <v>Description</v>
          </cell>
          <cell r="E45" t="str">
            <v>Number Of Lamps</v>
          </cell>
        </row>
        <row r="46">
          <cell r="A46" t="str">
            <v>Node45</v>
          </cell>
          <cell r="B46" t="str">
            <v>Equipment Category</v>
          </cell>
          <cell r="C46" t="str">
            <v>Retrofit or New Construction</v>
          </cell>
          <cell r="D46" t="str">
            <v>Description</v>
          </cell>
          <cell r="E46" t="str">
            <v>Number Of Lamps</v>
          </cell>
        </row>
        <row r="47">
          <cell r="A47" t="str">
            <v>Node46</v>
          </cell>
          <cell r="B47" t="str">
            <v>Equipment Category</v>
          </cell>
          <cell r="C47" t="str">
            <v>Retrofit or New Construction</v>
          </cell>
        </row>
        <row r="48">
          <cell r="A48" t="str">
            <v>Node47</v>
          </cell>
          <cell r="B48" t="str">
            <v>Equipment Category</v>
          </cell>
          <cell r="C48" t="str">
            <v>Retrofit or New Construction</v>
          </cell>
          <cell r="D48" t="str">
            <v>Description</v>
          </cell>
        </row>
        <row r="49">
          <cell r="A49" t="str">
            <v>Node48</v>
          </cell>
          <cell r="B49" t="str">
            <v>Equipment Category</v>
          </cell>
          <cell r="C49" t="str">
            <v>Retrofit or New Construction</v>
          </cell>
          <cell r="D49" t="str">
            <v>Description</v>
          </cell>
        </row>
        <row r="50">
          <cell r="A50" t="str">
            <v>Node49</v>
          </cell>
          <cell r="B50" t="str">
            <v>Equipment Category</v>
          </cell>
          <cell r="C50" t="str">
            <v>Retrofit or New Construction</v>
          </cell>
        </row>
        <row r="51">
          <cell r="A51" t="str">
            <v>Node50</v>
          </cell>
          <cell r="B51" t="str">
            <v>Equipment Category</v>
          </cell>
          <cell r="C51" t="str">
            <v>Retrofit or New Construction</v>
          </cell>
          <cell r="D51" t="str">
            <v>Description</v>
          </cell>
        </row>
        <row r="52">
          <cell r="A52" t="str">
            <v>Node51</v>
          </cell>
          <cell r="B52" t="str">
            <v>Equipment Category</v>
          </cell>
          <cell r="C52" t="str">
            <v>Retrofit or New Construction</v>
          </cell>
          <cell r="D52" t="str">
            <v>Description</v>
          </cell>
        </row>
        <row r="53">
          <cell r="A53" t="str">
            <v>Node52</v>
          </cell>
          <cell r="B53" t="str">
            <v>Equipment Category</v>
          </cell>
          <cell r="C53" t="str">
            <v>Retrofit or New Construction</v>
          </cell>
        </row>
        <row r="54">
          <cell r="A54" t="str">
            <v>Node53</v>
          </cell>
          <cell r="B54" t="str">
            <v>Equipment Category</v>
          </cell>
          <cell r="C54" t="str">
            <v>Retrofit or New Construction</v>
          </cell>
          <cell r="D54" t="str">
            <v>Description</v>
          </cell>
        </row>
        <row r="55">
          <cell r="A55" t="str">
            <v>Node54</v>
          </cell>
          <cell r="B55" t="str">
            <v>Equipment Category</v>
          </cell>
          <cell r="C55" t="str">
            <v>Retrofit or New Construction</v>
          </cell>
          <cell r="D55" t="str">
            <v>Description</v>
          </cell>
        </row>
        <row r="56">
          <cell r="A56" t="str">
            <v>Node55</v>
          </cell>
          <cell r="B56" t="str">
            <v>Equipment Category</v>
          </cell>
          <cell r="C56" t="str">
            <v>Retrofit or New Construction</v>
          </cell>
        </row>
        <row r="57">
          <cell r="A57" t="str">
            <v>Node56</v>
          </cell>
          <cell r="B57" t="str">
            <v>Equipment Category</v>
          </cell>
          <cell r="C57" t="str">
            <v>Retrofit or New Construction</v>
          </cell>
          <cell r="D57" t="str">
            <v>Description</v>
          </cell>
        </row>
        <row r="58">
          <cell r="A58" t="str">
            <v>Node57</v>
          </cell>
          <cell r="B58" t="str">
            <v>Equipment Category</v>
          </cell>
          <cell r="C58" t="str">
            <v>Retrofit or New Construction</v>
          </cell>
          <cell r="D58" t="str">
            <v>Description</v>
          </cell>
        </row>
        <row r="59">
          <cell r="A59" t="str">
            <v>Node58</v>
          </cell>
          <cell r="B59" t="str">
            <v>Equipment Category</v>
          </cell>
          <cell r="C59" t="str">
            <v>Retrofit or New Construction</v>
          </cell>
        </row>
        <row r="60">
          <cell r="A60" t="str">
            <v>Node59</v>
          </cell>
          <cell r="B60" t="str">
            <v>Equipment Category</v>
          </cell>
          <cell r="C60" t="str">
            <v>Retrofit or New Construction</v>
          </cell>
          <cell r="D60" t="str">
            <v>Description</v>
          </cell>
        </row>
        <row r="61">
          <cell r="A61" t="str">
            <v>Node60</v>
          </cell>
          <cell r="B61" t="str">
            <v>Equipment Category</v>
          </cell>
          <cell r="C61" t="str">
            <v>Retrofit or New Construction</v>
          </cell>
          <cell r="D61" t="str">
            <v>Description</v>
          </cell>
        </row>
        <row r="62">
          <cell r="A62" t="str">
            <v>Node61</v>
          </cell>
          <cell r="B62" t="str">
            <v>Equipment Category</v>
          </cell>
          <cell r="C62" t="str">
            <v>Retrofit or New Construction</v>
          </cell>
        </row>
        <row r="63">
          <cell r="A63" t="str">
            <v>Node62</v>
          </cell>
          <cell r="B63" t="str">
            <v>Equipment Category</v>
          </cell>
          <cell r="C63" t="str">
            <v>Retrofit or New Construction</v>
          </cell>
          <cell r="D63" t="str">
            <v>Description</v>
          </cell>
        </row>
        <row r="64">
          <cell r="A64" t="str">
            <v>Node63</v>
          </cell>
          <cell r="B64" t="str">
            <v>Equipment Category</v>
          </cell>
          <cell r="C64" t="str">
            <v>Retrofit or New Construction</v>
          </cell>
          <cell r="D64" t="str">
            <v>Description</v>
          </cell>
        </row>
        <row r="65">
          <cell r="A65" t="str">
            <v>Node64</v>
          </cell>
          <cell r="B65" t="str">
            <v>Equipment Category</v>
          </cell>
          <cell r="C65" t="str">
            <v>Retrofit or New Construction</v>
          </cell>
        </row>
        <row r="66">
          <cell r="A66" t="str">
            <v>Node65</v>
          </cell>
          <cell r="B66" t="str">
            <v>Equipment Category</v>
          </cell>
          <cell r="C66" t="str">
            <v>Retrofit or New Construction</v>
          </cell>
        </row>
        <row r="67">
          <cell r="A67" t="str">
            <v>Node66</v>
          </cell>
          <cell r="B67" t="str">
            <v>Equipment Category</v>
          </cell>
          <cell r="C67" t="str">
            <v>Retrofit or New Construction</v>
          </cell>
          <cell r="D67" t="str">
            <v>Description</v>
          </cell>
        </row>
        <row r="68">
          <cell r="A68" t="str">
            <v>Node67</v>
          </cell>
          <cell r="B68" t="str">
            <v>Equipment Category</v>
          </cell>
          <cell r="C68" t="str">
            <v>Retrofit or New Construction</v>
          </cell>
          <cell r="D68" t="str">
            <v>Description</v>
          </cell>
        </row>
        <row r="69">
          <cell r="A69" t="str">
            <v>Node68</v>
          </cell>
          <cell r="B69" t="str">
            <v>Equipment Category</v>
          </cell>
          <cell r="C69" t="str">
            <v>Retrofit or New Construction</v>
          </cell>
        </row>
        <row r="70">
          <cell r="A70" t="str">
            <v>Node69</v>
          </cell>
          <cell r="B70" t="str">
            <v>Equipment Category</v>
          </cell>
          <cell r="C70" t="str">
            <v>Retrofit or New Construction</v>
          </cell>
          <cell r="D70" t="str">
            <v>Lamp Length</v>
          </cell>
        </row>
        <row r="71">
          <cell r="A71" t="str">
            <v>Node70</v>
          </cell>
          <cell r="B71" t="str">
            <v>Equipment Category</v>
          </cell>
          <cell r="C71" t="str">
            <v>Retrofit or New Construction</v>
          </cell>
          <cell r="D71" t="str">
            <v>Lamp Length</v>
          </cell>
          <cell r="E71" t="str">
            <v>Description</v>
          </cell>
        </row>
        <row r="72">
          <cell r="A72" t="str">
            <v>Node71</v>
          </cell>
          <cell r="B72" t="str">
            <v>Equipment Category</v>
          </cell>
          <cell r="C72" t="str">
            <v>Retrofit or New Construction</v>
          </cell>
          <cell r="D72" t="str">
            <v>Lamp Length</v>
          </cell>
          <cell r="E72" t="str">
            <v>Description</v>
          </cell>
        </row>
        <row r="73">
          <cell r="A73" t="str">
            <v>Node72</v>
          </cell>
          <cell r="B73" t="str">
            <v>Equipment Category</v>
          </cell>
          <cell r="C73" t="str">
            <v>Retrofit or New Construction</v>
          </cell>
          <cell r="D73" t="str">
            <v>Lamp Length</v>
          </cell>
          <cell r="E73" t="str">
            <v>Description</v>
          </cell>
        </row>
        <row r="74">
          <cell r="A74" t="str">
            <v>Node73</v>
          </cell>
          <cell r="B74" t="str">
            <v>Equipment Category</v>
          </cell>
          <cell r="C74" t="str">
            <v>Retrofit or New Construction</v>
          </cell>
          <cell r="D74" t="str">
            <v>Lamp Length</v>
          </cell>
          <cell r="E74" t="str">
            <v>Description</v>
          </cell>
        </row>
        <row r="75">
          <cell r="A75" t="str">
            <v>Node74</v>
          </cell>
          <cell r="B75" t="str">
            <v>Equipment Category</v>
          </cell>
          <cell r="C75" t="str">
            <v>Retrofit or New Construction</v>
          </cell>
          <cell r="D75" t="str">
            <v>Lamp Length</v>
          </cell>
          <cell r="E75" t="str">
            <v>Description</v>
          </cell>
        </row>
        <row r="76">
          <cell r="A76" t="str">
            <v>Node75</v>
          </cell>
          <cell r="B76" t="str">
            <v>Equipment Category</v>
          </cell>
          <cell r="C76" t="str">
            <v>Retrofit or New Construction</v>
          </cell>
          <cell r="D76" t="str">
            <v>Lamp Length</v>
          </cell>
          <cell r="E76" t="str">
            <v>Description</v>
          </cell>
        </row>
        <row r="77">
          <cell r="A77" t="str">
            <v>Node76</v>
          </cell>
          <cell r="B77" t="str">
            <v>Equipment Category</v>
          </cell>
          <cell r="C77" t="str">
            <v>Retrofit or New Construction</v>
          </cell>
          <cell r="D77" t="str">
            <v>Lamp Length</v>
          </cell>
          <cell r="E77" t="str">
            <v>Description</v>
          </cell>
          <cell r="F77" t="str">
            <v>Number Of Lamps</v>
          </cell>
        </row>
        <row r="78">
          <cell r="A78" t="str">
            <v>Node77</v>
          </cell>
          <cell r="B78" t="str">
            <v>Equipment Category</v>
          </cell>
          <cell r="C78" t="str">
            <v>Retrofit or New Construction</v>
          </cell>
          <cell r="D78" t="str">
            <v>Lamp Length</v>
          </cell>
          <cell r="E78" t="str">
            <v>Description</v>
          </cell>
          <cell r="F78" t="str">
            <v>Number Of Lamps</v>
          </cell>
        </row>
        <row r="79">
          <cell r="A79" t="str">
            <v>Node78</v>
          </cell>
          <cell r="B79" t="str">
            <v>Equipment Category</v>
          </cell>
          <cell r="C79" t="str">
            <v>Retrofit or New Construction</v>
          </cell>
          <cell r="D79" t="str">
            <v>Lamp Length</v>
          </cell>
          <cell r="E79" t="str">
            <v>Description</v>
          </cell>
          <cell r="F79" t="str">
            <v>Number Of Lamps</v>
          </cell>
        </row>
        <row r="80">
          <cell r="A80" t="str">
            <v>Node79</v>
          </cell>
          <cell r="B80" t="str">
            <v>Equipment Category</v>
          </cell>
          <cell r="C80" t="str">
            <v>Retrofit or New Construction</v>
          </cell>
          <cell r="D80" t="str">
            <v>Lamp Length</v>
          </cell>
          <cell r="E80" t="str">
            <v>Description</v>
          </cell>
          <cell r="F80" t="str">
            <v>Number Of Lamps</v>
          </cell>
        </row>
        <row r="81">
          <cell r="A81" t="str">
            <v>Node80</v>
          </cell>
          <cell r="B81" t="str">
            <v>Equipment Category</v>
          </cell>
          <cell r="C81" t="str">
            <v>Retrofit or New Construction</v>
          </cell>
          <cell r="D81" t="str">
            <v>Lamp Length</v>
          </cell>
          <cell r="E81" t="str">
            <v>Description</v>
          </cell>
          <cell r="F81" t="str">
            <v>Number Of Lamps</v>
          </cell>
        </row>
        <row r="82">
          <cell r="A82" t="str">
            <v>Node81</v>
          </cell>
          <cell r="B82" t="str">
            <v>Equipment Category</v>
          </cell>
          <cell r="C82" t="str">
            <v>Retrofit or New Construction</v>
          </cell>
          <cell r="D82" t="str">
            <v>Lamp Length</v>
          </cell>
          <cell r="E82" t="str">
            <v>Description</v>
          </cell>
          <cell r="F82" t="str">
            <v>Number Of Lamps</v>
          </cell>
        </row>
        <row r="83">
          <cell r="A83" t="str">
            <v>Node82</v>
          </cell>
          <cell r="B83" t="str">
            <v>Equipment Category</v>
          </cell>
          <cell r="C83" t="str">
            <v>Retrofit or New Construction</v>
          </cell>
          <cell r="D83" t="str">
            <v>Lamp Length</v>
          </cell>
          <cell r="E83" t="str">
            <v>Description</v>
          </cell>
          <cell r="F83" t="str">
            <v>Number Of Lamps</v>
          </cell>
        </row>
        <row r="84">
          <cell r="A84" t="str">
            <v>Node83</v>
          </cell>
          <cell r="B84" t="str">
            <v>Equipment Category</v>
          </cell>
          <cell r="C84" t="str">
            <v>Retrofit or New Construction</v>
          </cell>
          <cell r="D84" t="str">
            <v>Lamp Length</v>
          </cell>
          <cell r="E84" t="str">
            <v>Description</v>
          </cell>
          <cell r="F84" t="str">
            <v>Number Of Lamps</v>
          </cell>
        </row>
        <row r="85">
          <cell r="A85" t="str">
            <v>Node84</v>
          </cell>
          <cell r="B85" t="str">
            <v>Equipment Category</v>
          </cell>
          <cell r="C85" t="str">
            <v>Retrofit or New Construction</v>
          </cell>
          <cell r="D85" t="str">
            <v>Lamp Length</v>
          </cell>
          <cell r="E85" t="str">
            <v>Description</v>
          </cell>
          <cell r="F85" t="str">
            <v>Number Of Lamps</v>
          </cell>
        </row>
        <row r="86">
          <cell r="A86" t="str">
            <v>Node85</v>
          </cell>
          <cell r="B86" t="str">
            <v>Equipment Category</v>
          </cell>
          <cell r="C86" t="str">
            <v>Retrofit or New Construction</v>
          </cell>
          <cell r="D86" t="str">
            <v>Lamp Length</v>
          </cell>
          <cell r="E86" t="str">
            <v>Description</v>
          </cell>
          <cell r="F86" t="str">
            <v>Number Of Lamps</v>
          </cell>
        </row>
        <row r="87">
          <cell r="A87" t="str">
            <v>Node86</v>
          </cell>
          <cell r="B87" t="str">
            <v>Equipment Category</v>
          </cell>
          <cell r="C87" t="str">
            <v>Retrofit or New Construction</v>
          </cell>
          <cell r="D87" t="str">
            <v>Lamp Length</v>
          </cell>
          <cell r="E87" t="str">
            <v>Description</v>
          </cell>
          <cell r="F87" t="str">
            <v>Number Of Lamps</v>
          </cell>
        </row>
        <row r="88">
          <cell r="A88" t="str">
            <v>Node87</v>
          </cell>
          <cell r="B88" t="str">
            <v>Equipment Category</v>
          </cell>
          <cell r="C88" t="str">
            <v>Retrofit or New Construction</v>
          </cell>
          <cell r="D88" t="str">
            <v>Lamp Length</v>
          </cell>
          <cell r="E88" t="str">
            <v>Description</v>
          </cell>
          <cell r="F88" t="str">
            <v>Number Of Lamps</v>
          </cell>
        </row>
        <row r="89">
          <cell r="A89" t="str">
            <v>Node88</v>
          </cell>
          <cell r="B89" t="str">
            <v>Equipment Category</v>
          </cell>
          <cell r="C89" t="str">
            <v>Retrofit or New Construction</v>
          </cell>
          <cell r="D89" t="str">
            <v>Lamp Length</v>
          </cell>
          <cell r="E89" t="str">
            <v>Description</v>
          </cell>
          <cell r="F89" t="str">
            <v>Number Of Lamps</v>
          </cell>
        </row>
        <row r="90">
          <cell r="A90" t="str">
            <v>Node89</v>
          </cell>
          <cell r="B90" t="str">
            <v>Equipment Category</v>
          </cell>
          <cell r="C90" t="str">
            <v>Retrofit or New Construction</v>
          </cell>
          <cell r="D90" t="str">
            <v>Lamp Length</v>
          </cell>
          <cell r="E90" t="str">
            <v>Description</v>
          </cell>
          <cell r="F90" t="str">
            <v>Number Of Lamps</v>
          </cell>
        </row>
        <row r="91">
          <cell r="A91" t="str">
            <v>Node90</v>
          </cell>
          <cell r="B91" t="str">
            <v>Equipment Category</v>
          </cell>
          <cell r="C91" t="str">
            <v>Retrofit or New Construction</v>
          </cell>
          <cell r="D91" t="str">
            <v>Lamp Length</v>
          </cell>
          <cell r="E91" t="str">
            <v>Description</v>
          </cell>
          <cell r="F91" t="str">
            <v>Number Of Lamps</v>
          </cell>
        </row>
        <row r="92">
          <cell r="A92" t="str">
            <v>Node91</v>
          </cell>
          <cell r="B92" t="str">
            <v>Equipment Category</v>
          </cell>
          <cell r="C92" t="str">
            <v>Retrofit or New Construction</v>
          </cell>
          <cell r="D92" t="str">
            <v>Description</v>
          </cell>
        </row>
        <row r="93">
          <cell r="A93" t="str">
            <v>Node92</v>
          </cell>
          <cell r="B93" t="str">
            <v>Equipment Category</v>
          </cell>
          <cell r="C93" t="str">
            <v>Retrofit or New Construction</v>
          </cell>
          <cell r="D93" t="str">
            <v>Description</v>
          </cell>
          <cell r="E93" t="str">
            <v>Number Of Lamps</v>
          </cell>
        </row>
        <row r="94">
          <cell r="A94" t="str">
            <v>Node93</v>
          </cell>
          <cell r="B94" t="str">
            <v>Equipment Category</v>
          </cell>
          <cell r="C94" t="str">
            <v>Description</v>
          </cell>
        </row>
        <row r="95">
          <cell r="A95" t="str">
            <v>Node94</v>
          </cell>
          <cell r="B95" t="str">
            <v>Equipment Category</v>
          </cell>
          <cell r="C95" t="str">
            <v>Description</v>
          </cell>
        </row>
        <row r="96">
          <cell r="A96" t="str">
            <v>Node95</v>
          </cell>
          <cell r="B96" t="str">
            <v>Equipment Category</v>
          </cell>
          <cell r="C96" t="str">
            <v>Description</v>
          </cell>
        </row>
        <row r="97">
          <cell r="A97" t="str">
            <v>Node96</v>
          </cell>
          <cell r="B97" t="str">
            <v>Equipment Category</v>
          </cell>
          <cell r="C97" t="str">
            <v>Retrofit or New Construction</v>
          </cell>
          <cell r="D97" t="str">
            <v>Description</v>
          </cell>
          <cell r="E97" t="str">
            <v>Number Of Lamps</v>
          </cell>
        </row>
        <row r="98">
          <cell r="A98" t="str">
            <v>Node97</v>
          </cell>
          <cell r="B98" t="str">
            <v>Equipment Category</v>
          </cell>
          <cell r="C98" t="str">
            <v>Retrofit or New Construction</v>
          </cell>
          <cell r="D98" t="str">
            <v>Description</v>
          </cell>
          <cell r="E98" t="str">
            <v>Number Of Lamps</v>
          </cell>
        </row>
        <row r="99">
          <cell r="A99" t="str">
            <v>Node98</v>
          </cell>
          <cell r="B99" t="str">
            <v>Equipment Category</v>
          </cell>
          <cell r="C99" t="str">
            <v>Retrofit or New Construction</v>
          </cell>
          <cell r="D99" t="str">
            <v>Description</v>
          </cell>
          <cell r="E99" t="str">
            <v>Number Of Lamps</v>
          </cell>
        </row>
        <row r="100">
          <cell r="A100" t="str">
            <v>Node99</v>
          </cell>
          <cell r="B100" t="str">
            <v>Equipment Category</v>
          </cell>
          <cell r="C100" t="str">
            <v>Retrofit or New Construction</v>
          </cell>
          <cell r="D100" t="str">
            <v>Description</v>
          </cell>
          <cell r="E100" t="str">
            <v>Number Of Lamps</v>
          </cell>
        </row>
        <row r="101">
          <cell r="A101" t="str">
            <v>Node100</v>
          </cell>
          <cell r="B101" t="str">
            <v>Equipment Category</v>
          </cell>
          <cell r="C101" t="str">
            <v>Retrofit or New Construction</v>
          </cell>
          <cell r="D101" t="str">
            <v>Description</v>
          </cell>
          <cell r="E101" t="str">
            <v>Number Of Lamps</v>
          </cell>
        </row>
        <row r="102">
          <cell r="A102" t="str">
            <v>Node101</v>
          </cell>
          <cell r="B102" t="str">
            <v>Equipment Category</v>
          </cell>
          <cell r="C102" t="str">
            <v>Retrofit or New Construction</v>
          </cell>
          <cell r="D102" t="str">
            <v>Description</v>
          </cell>
          <cell r="E102" t="str">
            <v>Number Of Lamps</v>
          </cell>
        </row>
        <row r="103">
          <cell r="A103" t="str">
            <v>Node102</v>
          </cell>
          <cell r="B103" t="str">
            <v>Equipment Category</v>
          </cell>
          <cell r="C103" t="str">
            <v>Retrofit or New Construction</v>
          </cell>
          <cell r="D103" t="str">
            <v>Description</v>
          </cell>
          <cell r="E103" t="str">
            <v>Number Of Lamps</v>
          </cell>
        </row>
        <row r="104">
          <cell r="A104" t="str">
            <v>Node103</v>
          </cell>
          <cell r="B104" t="str">
            <v>Equipment Category</v>
          </cell>
          <cell r="C104" t="str">
            <v>Retrofit or New Construction</v>
          </cell>
          <cell r="D104" t="str">
            <v>Description</v>
          </cell>
          <cell r="E104" t="str">
            <v>Number Of Lamps</v>
          </cell>
        </row>
        <row r="105">
          <cell r="A105" t="str">
            <v>Node104</v>
          </cell>
          <cell r="B105" t="str">
            <v>Equipment Category</v>
          </cell>
          <cell r="C105" t="str">
            <v>Retrofit or New Construction</v>
          </cell>
          <cell r="D105" t="str">
            <v>Description</v>
          </cell>
          <cell r="E105" t="str">
            <v>Number Of Lamps</v>
          </cell>
        </row>
        <row r="106">
          <cell r="A106" t="str">
            <v>Node105</v>
          </cell>
          <cell r="B106" t="str">
            <v>Equipment Category</v>
          </cell>
          <cell r="C106" t="str">
            <v>Retrofit or New Construction</v>
          </cell>
          <cell r="D106" t="str">
            <v>Description</v>
          </cell>
          <cell r="E106" t="str">
            <v>Number Of Lamps</v>
          </cell>
        </row>
        <row r="107">
          <cell r="A107" t="str">
            <v>Node106</v>
          </cell>
          <cell r="B107" t="str">
            <v>Equipment Category</v>
          </cell>
          <cell r="C107" t="str">
            <v>Retrofit or New Construction</v>
          </cell>
          <cell r="D107" t="str">
            <v>Description</v>
          </cell>
          <cell r="E107" t="str">
            <v>Number Of Lamps</v>
          </cell>
        </row>
        <row r="108">
          <cell r="A108" t="str">
            <v>Node107</v>
          </cell>
          <cell r="B108" t="str">
            <v>Equipment Category</v>
          </cell>
          <cell r="C108" t="str">
            <v>Retrofit or New Construction</v>
          </cell>
          <cell r="D108" t="str">
            <v>Description</v>
          </cell>
          <cell r="E108" t="str">
            <v>Number Of Lamps</v>
          </cell>
        </row>
        <row r="109">
          <cell r="A109" t="str">
            <v>Node108</v>
          </cell>
          <cell r="B109" t="str">
            <v>Equipment Category</v>
          </cell>
          <cell r="C109" t="str">
            <v>Retrofit or New Construction</v>
          </cell>
          <cell r="D109" t="str">
            <v>Description</v>
          </cell>
          <cell r="E109" t="str">
            <v>Number Of Lamps</v>
          </cell>
        </row>
        <row r="110">
          <cell r="A110" t="str">
            <v>Node109</v>
          </cell>
          <cell r="B110" t="str">
            <v>Equipment Category</v>
          </cell>
          <cell r="C110" t="str">
            <v>Retrofit or New Construction</v>
          </cell>
          <cell r="D110" t="str">
            <v>Description</v>
          </cell>
          <cell r="E110" t="str">
            <v>Number Of Lamps</v>
          </cell>
        </row>
        <row r="111">
          <cell r="A111" t="str">
            <v>Node110</v>
          </cell>
          <cell r="B111" t="str">
            <v>Equipment Category</v>
          </cell>
          <cell r="C111" t="str">
            <v>Description</v>
          </cell>
        </row>
        <row r="112">
          <cell r="A112" t="str">
            <v>Node111</v>
          </cell>
          <cell r="B112" t="str">
            <v>Equipment Category</v>
          </cell>
          <cell r="C112" t="str">
            <v>Retrofit or New Construction</v>
          </cell>
        </row>
        <row r="113">
          <cell r="A113" t="str">
            <v>Node112</v>
          </cell>
          <cell r="B113" t="str">
            <v>Equipment Category</v>
          </cell>
          <cell r="C113" t="str">
            <v>Retrofit or New Construction</v>
          </cell>
          <cell r="D113" t="str">
            <v>Description</v>
          </cell>
        </row>
        <row r="114">
          <cell r="A114" t="str">
            <v>Node113</v>
          </cell>
          <cell r="B114" t="str">
            <v>Equipment Category</v>
          </cell>
          <cell r="C114" t="str">
            <v>Retrofit or New Construction</v>
          </cell>
          <cell r="D114" t="str">
            <v>Description</v>
          </cell>
        </row>
        <row r="115">
          <cell r="A115" t="str">
            <v>Node114</v>
          </cell>
          <cell r="B115" t="str">
            <v>Equipment Category</v>
          </cell>
          <cell r="C115" t="str">
            <v>Retrofit or New Construction</v>
          </cell>
          <cell r="D115" t="str">
            <v>Description</v>
          </cell>
          <cell r="E115" t="str">
            <v>Number Of Lamps</v>
          </cell>
        </row>
        <row r="116">
          <cell r="A116" t="str">
            <v>Node115</v>
          </cell>
          <cell r="B116" t="str">
            <v>Equipment Category</v>
          </cell>
          <cell r="C116" t="str">
            <v>Retrofit or New Construction</v>
          </cell>
          <cell r="D116" t="str">
            <v>Lamp Length</v>
          </cell>
          <cell r="E116" t="str">
            <v>Description</v>
          </cell>
          <cell r="F116" t="str">
            <v>Number Of Lamps</v>
          </cell>
        </row>
        <row r="117">
          <cell r="A117" t="str">
            <v>Node116</v>
          </cell>
          <cell r="B117" t="str">
            <v>Equipment Category</v>
          </cell>
          <cell r="C117" t="str">
            <v>Retrofit or New Construction</v>
          </cell>
          <cell r="D117" t="str">
            <v>Description</v>
          </cell>
          <cell r="E117" t="str">
            <v>Number Of Lamps</v>
          </cell>
        </row>
        <row r="118">
          <cell r="A118" t="str">
            <v>Node117</v>
          </cell>
          <cell r="B118" t="str">
            <v>Equipment Category</v>
          </cell>
          <cell r="C118" t="str">
            <v>Retrofit or New Construction</v>
          </cell>
          <cell r="D118" t="str">
            <v>Description</v>
          </cell>
          <cell r="E118" t="str">
            <v>Number of Lamps</v>
          </cell>
        </row>
        <row r="119">
          <cell r="A119" t="str">
            <v>Node118</v>
          </cell>
          <cell r="B119" t="str">
            <v>Equipment Category</v>
          </cell>
          <cell r="C119" t="str">
            <v>Retrofit or New Construction</v>
          </cell>
          <cell r="D119" t="str">
            <v>Description</v>
          </cell>
          <cell r="E119" t="str">
            <v>Number of Lamps</v>
          </cell>
        </row>
        <row r="120">
          <cell r="A120" t="str">
            <v>Node119</v>
          </cell>
          <cell r="B120" t="str">
            <v>Equipment Category</v>
          </cell>
          <cell r="C120" t="str">
            <v>Retrofit or New Construction</v>
          </cell>
          <cell r="D120" t="str">
            <v>Description</v>
          </cell>
        </row>
        <row r="121">
          <cell r="A121" t="str">
            <v>Node120</v>
          </cell>
          <cell r="B121" t="str">
            <v>Equipment Category</v>
          </cell>
          <cell r="C121" t="str">
            <v>Retrofit or New Construction</v>
          </cell>
          <cell r="D121" t="str">
            <v>Description</v>
          </cell>
        </row>
        <row r="122">
          <cell r="A122" t="str">
            <v>Node121</v>
          </cell>
          <cell r="B122" t="str">
            <v>Equipment Category</v>
          </cell>
          <cell r="C122" t="str">
            <v>Retrofit or New Construction</v>
          </cell>
          <cell r="D122" t="str">
            <v>Lamp Length</v>
          </cell>
          <cell r="E122" t="str">
            <v>Description</v>
          </cell>
          <cell r="F122" t="str">
            <v>Number Of Lamps</v>
          </cell>
        </row>
        <row r="123">
          <cell r="A123" t="str">
            <v>Node122</v>
          </cell>
          <cell r="B123" t="str">
            <v>Equipment Category</v>
          </cell>
          <cell r="C123" t="str">
            <v>Retrofit or New Construction</v>
          </cell>
          <cell r="D123" t="str">
            <v>Lamp Length</v>
          </cell>
          <cell r="E123" t="str">
            <v>Description</v>
          </cell>
          <cell r="F123" t="str">
            <v>Number Of Lamps</v>
          </cell>
        </row>
        <row r="124">
          <cell r="A124" t="str">
            <v>Node123</v>
          </cell>
          <cell r="B124" t="str">
            <v>Equipment Category</v>
          </cell>
          <cell r="C124" t="str">
            <v>Lamp Wattage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9.140625" defaultRowHeight="12.75"/>
  <cols>
    <col min="1" max="16384" width="9.140625" style="33" customWidth="1"/>
  </cols>
  <sheetData/>
  <sheetProtection sheet="1"/>
  <printOptions horizontalCentered="1" verticalCentered="1"/>
  <pageMargins left="0.25" right="0.25" top="0.17" bottom="0.16" header="0.17" footer="0.18"/>
  <pageSetup fitToHeight="1" fitToWidth="1" horizontalDpi="600" verticalDpi="600" orientation="portrait" scale="7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3:K51"/>
  <sheetViews>
    <sheetView zoomScale="85" zoomScaleNormal="85" zoomScaleSheetLayoutView="100" zoomScalePageLayoutView="0" workbookViewId="0" topLeftCell="A1">
      <selection activeCell="F30" sqref="F30"/>
    </sheetView>
  </sheetViews>
  <sheetFormatPr defaultColWidth="9.140625" defaultRowHeight="12.75"/>
  <cols>
    <col min="1" max="1" width="5.421875" style="33" customWidth="1"/>
    <col min="2" max="2" width="19.8515625" style="33" customWidth="1"/>
    <col min="3" max="3" width="18.57421875" style="33" customWidth="1"/>
    <col min="4" max="4" width="16.00390625" style="33" customWidth="1"/>
    <col min="5" max="5" width="18.140625" style="33" customWidth="1"/>
    <col min="6" max="6" width="15.421875" style="33" customWidth="1"/>
    <col min="7" max="8" width="9.140625" style="33" customWidth="1"/>
    <col min="9" max="9" width="5.57421875" style="33" customWidth="1"/>
    <col min="10" max="10" width="9.140625" style="33" customWidth="1"/>
    <col min="11" max="11" width="1.421875" style="33" customWidth="1"/>
    <col min="12" max="16384" width="9.140625" style="33" customWidth="1"/>
  </cols>
  <sheetData>
    <row r="3" spans="2:3" ht="21.75" customHeight="1">
      <c r="B3" s="19" t="s">
        <v>587</v>
      </c>
      <c r="C3" s="3">
        <f>'Customer Information'!CustomerName</f>
        <v>0</v>
      </c>
    </row>
    <row r="4" spans="2:5" ht="17.25" customHeight="1">
      <c r="B4" s="19" t="s">
        <v>586</v>
      </c>
      <c r="C4" s="3">
        <f>'Customer Information'!CustomerInstallAddress</f>
        <v>0</v>
      </c>
      <c r="D4" s="922">
        <f>'Customer Information'!B10</f>
        <v>0</v>
      </c>
      <c r="E4" s="922"/>
    </row>
    <row r="5" spans="2:11" ht="15">
      <c r="B5" s="923" t="s">
        <v>105</v>
      </c>
      <c r="C5" s="923"/>
      <c r="D5" s="923"/>
      <c r="E5" s="923"/>
      <c r="F5" s="923"/>
      <c r="G5" s="923"/>
      <c r="H5" s="923"/>
      <c r="I5" s="923"/>
      <c r="J5" s="923"/>
      <c r="K5" s="49"/>
    </row>
    <row r="6" spans="3:6" ht="23.25" customHeight="1">
      <c r="C6" s="50"/>
      <c r="D6" s="51" t="s">
        <v>106</v>
      </c>
      <c r="E6" s="51" t="s">
        <v>107</v>
      </c>
      <c r="F6" s="51" t="s">
        <v>108</v>
      </c>
    </row>
    <row r="7" spans="3:6" ht="15.75">
      <c r="C7" s="52" t="s">
        <v>109</v>
      </c>
      <c r="D7" s="53">
        <f>'Rooftop Savings'!D22+'Water Cooled Chillers Savings'!D26+'Air Cooled Chillers Savings'!D26</f>
        <v>0</v>
      </c>
      <c r="E7" s="53">
        <f>'Rooftop Savings'!J22+'Water Cooled Chillers Savings'!J26+'Air Cooled Chillers Savings'!J26</f>
        <v>0</v>
      </c>
      <c r="F7" s="54">
        <f>D7-E7</f>
        <v>0</v>
      </c>
    </row>
    <row r="8" spans="3:6" ht="15.75">
      <c r="C8" s="55" t="s">
        <v>110</v>
      </c>
      <c r="D8" s="56">
        <f>'Rooftop Savings'!C21+'Water Cooled Chillers Savings'!C25+'Air Cooled Chillers Savings'!C25</f>
        <v>2.5806451612903225</v>
      </c>
      <c r="E8" s="56">
        <f>'Rooftop Savings'!I21+'Water Cooled Chillers Savings'!I25+'Air Cooled Chillers Savings'!I25</f>
        <v>0.5454545454545454</v>
      </c>
      <c r="F8" s="56">
        <f>D8-E8</f>
        <v>2.035190615835777</v>
      </c>
    </row>
    <row r="9" spans="3:6" ht="15.75">
      <c r="C9" s="55" t="s">
        <v>111</v>
      </c>
      <c r="D9" s="56">
        <f>'Rooftop Savings'!D21+'Water Cooled Chillers Savings'!D25+'Air Cooled Chillers Savings'!D25</f>
        <v>0</v>
      </c>
      <c r="E9" s="56">
        <f>'Rooftop Savings'!J21+'Water Cooled Chillers Savings'!J25+'Air Cooled Chillers Savings'!J25</f>
        <v>0</v>
      </c>
      <c r="F9" s="56">
        <f>D9-E9</f>
        <v>0</v>
      </c>
    </row>
    <row r="10" ht="18" customHeight="1"/>
    <row r="11" spans="5:6" ht="15" hidden="1">
      <c r="E11" s="33">
        <v>0</v>
      </c>
      <c r="F11" s="57">
        <f>-F29</f>
        <v>-49.99999999999999</v>
      </c>
    </row>
    <row r="12" spans="4:6" ht="15" hidden="1">
      <c r="D12" s="364">
        <f>F12</f>
        <v>0</v>
      </c>
      <c r="E12" s="58" t="s">
        <v>112</v>
      </c>
      <c r="F12" s="59">
        <f>F7</f>
        <v>0</v>
      </c>
    </row>
    <row r="13" spans="4:6" ht="15" hidden="1">
      <c r="D13" s="364">
        <f>D12+F13</f>
        <v>0</v>
      </c>
      <c r="E13" s="58" t="s">
        <v>113</v>
      </c>
      <c r="F13" s="59">
        <f aca="true" t="shared" si="0" ref="F13:F21">F12</f>
        <v>0</v>
      </c>
    </row>
    <row r="14" spans="4:6" ht="15" hidden="1">
      <c r="D14" s="364">
        <f>D13+F14</f>
        <v>0</v>
      </c>
      <c r="E14" s="58" t="s">
        <v>114</v>
      </c>
      <c r="F14" s="59">
        <f t="shared" si="0"/>
        <v>0</v>
      </c>
    </row>
    <row r="15" spans="4:6" ht="15" hidden="1">
      <c r="D15" s="364">
        <f>D14+F15</f>
        <v>0</v>
      </c>
      <c r="E15" s="58" t="s">
        <v>115</v>
      </c>
      <c r="F15" s="59">
        <f t="shared" si="0"/>
        <v>0</v>
      </c>
    </row>
    <row r="16" spans="4:6" ht="15" hidden="1">
      <c r="D16" s="364">
        <f>D15+F16</f>
        <v>0</v>
      </c>
      <c r="E16" s="58" t="s">
        <v>116</v>
      </c>
      <c r="F16" s="59">
        <f t="shared" si="0"/>
        <v>0</v>
      </c>
    </row>
    <row r="17" spans="4:6" ht="15" hidden="1">
      <c r="D17" s="365"/>
      <c r="E17" s="33">
        <v>6</v>
      </c>
      <c r="F17" s="59">
        <f t="shared" si="0"/>
        <v>0</v>
      </c>
    </row>
    <row r="18" spans="5:6" ht="15" hidden="1">
      <c r="E18" s="33">
        <v>7</v>
      </c>
      <c r="F18" s="59">
        <f t="shared" si="0"/>
        <v>0</v>
      </c>
    </row>
    <row r="19" spans="5:6" ht="15" hidden="1">
      <c r="E19" s="33">
        <v>8</v>
      </c>
      <c r="F19" s="59">
        <f t="shared" si="0"/>
        <v>0</v>
      </c>
    </row>
    <row r="20" spans="5:6" ht="15" hidden="1">
      <c r="E20" s="33">
        <v>9</v>
      </c>
      <c r="F20" s="59">
        <f t="shared" si="0"/>
        <v>0</v>
      </c>
    </row>
    <row r="21" spans="5:6" ht="15" hidden="1">
      <c r="E21" s="33">
        <v>10</v>
      </c>
      <c r="F21" s="59">
        <f t="shared" si="0"/>
        <v>0</v>
      </c>
    </row>
    <row r="24" ht="169.5" customHeight="1"/>
    <row r="25" spans="2:10" ht="15">
      <c r="B25" s="923" t="s">
        <v>645</v>
      </c>
      <c r="C25" s="923"/>
      <c r="D25" s="923"/>
      <c r="E25" s="923"/>
      <c r="F25" s="923"/>
      <c r="G25" s="923"/>
      <c r="H25" s="923"/>
      <c r="I25" s="923"/>
      <c r="J25" s="923"/>
    </row>
    <row r="26" ht="20.25" customHeight="1"/>
    <row r="27" spans="3:6" ht="15.75">
      <c r="C27" s="52" t="s">
        <v>648</v>
      </c>
      <c r="D27" s="60"/>
      <c r="E27" s="60"/>
      <c r="F27" s="253">
        <f>SUM('Rebate Information (Chillers-W)'!$N$9:$N$18,'Rebate Information (Rooftops)'!$N$10:$N$16,'Rebate Information (Chillers-A)'!$N$9:$N$18)</f>
        <v>0</v>
      </c>
    </row>
    <row r="28" spans="3:6" ht="15.75">
      <c r="C28" s="55" t="s">
        <v>117</v>
      </c>
      <c r="D28" s="61"/>
      <c r="E28" s="61"/>
      <c r="F28" s="254">
        <f>RooftopTotal+WaterChillerTotal+AirChillerTotal</f>
        <v>49.99999999999999</v>
      </c>
    </row>
    <row r="29" spans="3:6" ht="15.75">
      <c r="C29" s="55" t="s">
        <v>646</v>
      </c>
      <c r="D29" s="61"/>
      <c r="E29" s="61"/>
      <c r="F29" s="295">
        <f>IF(F27-F28&lt;0,F28,F27-F28)</f>
        <v>49.99999999999999</v>
      </c>
    </row>
    <row r="30" spans="3:6" ht="15.75">
      <c r="C30" s="55" t="s">
        <v>649</v>
      </c>
      <c r="D30" s="61"/>
      <c r="E30" s="61"/>
      <c r="F30" s="295">
        <f>SUM('Rooftop Savings'!J26,'Water Cooled Chillers Savings'!J30,'Air Cooled Chillers Savings'!J30)</f>
        <v>0</v>
      </c>
    </row>
    <row r="31" spans="3:6" ht="15.75">
      <c r="C31" s="55" t="s">
        <v>118</v>
      </c>
      <c r="D31" s="61"/>
      <c r="E31" s="61"/>
      <c r="F31" s="389" t="e">
        <f>IF(F29&lt;0,"N/A",(F29/F30))</f>
        <v>#DIV/0!</v>
      </c>
    </row>
    <row r="32" spans="3:10" ht="15.75">
      <c r="C32" s="55" t="s">
        <v>647</v>
      </c>
      <c r="D32" s="61"/>
      <c r="E32" s="61"/>
      <c r="F32" s="295">
        <f>(SUM('Rebate Information (Rooftops)'!M10:M16)+SUM('Rebate Information (Chillers-W)'!P9:P18)+SUM('Rebate Information (Chillers-A)'!P9:P18))-(SUM('Rebate Information (Rooftops)'!T17)+SUM('Rebate Information (Chillers-W)'!V19:W19)+SUM('Rebate Information (Chillers-A)'!W19:X19))</f>
        <v>-49.99999999999999</v>
      </c>
      <c r="H32" s="386"/>
      <c r="J32" s="386"/>
    </row>
    <row r="35" spans="2:10" ht="15">
      <c r="B35" s="923" t="s">
        <v>119</v>
      </c>
      <c r="C35" s="923"/>
      <c r="D35" s="923"/>
      <c r="E35" s="923"/>
      <c r="F35" s="923"/>
      <c r="G35" s="923"/>
      <c r="H35" s="923"/>
      <c r="I35" s="923"/>
      <c r="J35" s="923"/>
    </row>
    <row r="37" spans="2:7" ht="15.75">
      <c r="B37" s="50"/>
      <c r="C37" s="50"/>
      <c r="D37" s="62" t="s">
        <v>120</v>
      </c>
      <c r="E37" s="63">
        <f>F9*1.55</f>
        <v>0</v>
      </c>
      <c r="F37" s="50" t="s">
        <v>121</v>
      </c>
      <c r="G37" s="50"/>
    </row>
    <row r="38" spans="2:7" ht="15.75">
      <c r="B38" s="50"/>
      <c r="C38" s="50"/>
      <c r="D38" s="50"/>
      <c r="E38" s="50"/>
      <c r="F38" s="50"/>
      <c r="G38" s="50"/>
    </row>
    <row r="39" spans="2:7" ht="15.75">
      <c r="B39" s="50" t="s">
        <v>122</v>
      </c>
      <c r="C39" s="50"/>
      <c r="D39" s="50"/>
      <c r="E39" s="50"/>
      <c r="F39" s="50"/>
      <c r="G39" s="50"/>
    </row>
    <row r="40" spans="2:7" ht="18" customHeight="1">
      <c r="B40" s="50"/>
      <c r="C40" s="64">
        <f>E37*0.05</f>
        <v>0</v>
      </c>
      <c r="D40" s="50" t="s">
        <v>123</v>
      </c>
      <c r="E40" s="50"/>
      <c r="F40" s="50"/>
      <c r="G40" s="50"/>
    </row>
    <row r="41" spans="2:7" ht="18" customHeight="1">
      <c r="B41" s="50"/>
      <c r="C41" s="65">
        <f>C40/522</f>
        <v>0</v>
      </c>
      <c r="D41" s="50" t="s">
        <v>124</v>
      </c>
      <c r="E41" s="50"/>
      <c r="F41" s="50"/>
      <c r="G41" s="50"/>
    </row>
    <row r="42" spans="2:7" ht="18" customHeight="1">
      <c r="B42" s="50"/>
      <c r="C42" s="66">
        <f>E37/269433</f>
        <v>0</v>
      </c>
      <c r="D42" s="50" t="s">
        <v>125</v>
      </c>
      <c r="E42" s="50"/>
      <c r="F42" s="50"/>
      <c r="G42" s="50"/>
    </row>
    <row r="43" spans="2:7" ht="13.5" customHeight="1">
      <c r="B43" s="50"/>
      <c r="C43" s="50"/>
      <c r="D43" s="50"/>
      <c r="E43" s="50"/>
      <c r="F43" s="50"/>
      <c r="G43" s="50"/>
    </row>
    <row r="44" spans="2:10" ht="16.5" customHeight="1" thickBot="1">
      <c r="B44" s="67"/>
      <c r="C44" s="67"/>
      <c r="D44" s="67"/>
      <c r="E44" s="67"/>
      <c r="F44" s="67"/>
      <c r="G44" s="67"/>
      <c r="H44" s="68"/>
      <c r="I44" s="68"/>
      <c r="J44" s="68"/>
    </row>
    <row r="45" ht="8.25" customHeight="1"/>
    <row r="46" spans="2:8" ht="15">
      <c r="B46" s="58" t="s">
        <v>126</v>
      </c>
      <c r="C46" s="69">
        <f>'Customer Information'!ContractorContact</f>
        <v>0</v>
      </c>
      <c r="G46" s="70" t="s">
        <v>98</v>
      </c>
      <c r="H46" s="70" t="s">
        <v>99</v>
      </c>
    </row>
    <row r="47" spans="3:8" ht="15">
      <c r="C47" s="69">
        <f>'Customer Information'!ContractorName</f>
        <v>0</v>
      </c>
      <c r="G47" s="71" t="s">
        <v>127</v>
      </c>
      <c r="H47" s="71" t="s">
        <v>128</v>
      </c>
    </row>
    <row r="48" spans="3:8" ht="15">
      <c r="C48" s="69">
        <f>'Customer Information'!ContractorAddress</f>
        <v>0</v>
      </c>
      <c r="F48" s="72" t="s">
        <v>129</v>
      </c>
      <c r="G48" s="73">
        <v>10</v>
      </c>
      <c r="H48" s="74">
        <v>0.1</v>
      </c>
    </row>
    <row r="49" ht="15">
      <c r="C49" s="69"/>
    </row>
    <row r="50" spans="3:10" ht="15">
      <c r="C50" s="69">
        <f>'Customer Information'!ContractorPhone</f>
        <v>0</v>
      </c>
      <c r="H50" s="924" t="s">
        <v>130</v>
      </c>
      <c r="I50" s="924"/>
      <c r="J50" s="75">
        <f ca="1">TODAY()</f>
        <v>42019</v>
      </c>
    </row>
    <row r="51" ht="15">
      <c r="C51" s="69">
        <f>'Customer Information'!ContractorEmail</f>
        <v>0</v>
      </c>
    </row>
  </sheetData>
  <sheetProtection sheet="1" selectLockedCells="1"/>
  <mergeCells count="5">
    <mergeCell ref="D4:E4"/>
    <mergeCell ref="B5:J5"/>
    <mergeCell ref="B25:J25"/>
    <mergeCell ref="B35:J35"/>
    <mergeCell ref="H50:I50"/>
  </mergeCells>
  <conditionalFormatting sqref="D4:E4 C46:C51">
    <cfRule type="cellIs" priority="2" dxfId="0" operator="equal" stopIfTrue="1">
      <formula>0</formula>
    </cfRule>
  </conditionalFormatting>
  <printOptions horizontalCentered="1"/>
  <pageMargins left="0" right="0" top="0" bottom="0" header="0" footer="0"/>
  <pageSetup fitToHeight="1" fitToWidth="1" horizontalDpi="600" verticalDpi="600" orientation="portrait" scale="8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3:K60"/>
  <sheetViews>
    <sheetView zoomScalePageLayoutView="0" workbookViewId="0" topLeftCell="A1">
      <selection activeCell="N45" sqref="N45"/>
    </sheetView>
  </sheetViews>
  <sheetFormatPr defaultColWidth="9.140625" defaultRowHeight="12.75"/>
  <sheetData>
    <row r="2" ht="8.25" customHeight="1"/>
    <row r="3" ht="12.75">
      <c r="A3" s="27" t="s">
        <v>82</v>
      </c>
    </row>
    <row r="5" ht="11.25" customHeight="1"/>
    <row r="6" ht="12.75" hidden="1"/>
    <row r="7" ht="8.25" customHeight="1"/>
    <row r="8" ht="12.75">
      <c r="A8" s="28" t="s">
        <v>40</v>
      </c>
    </row>
    <row r="11" ht="15.75" customHeight="1"/>
    <row r="12" ht="12.75" hidden="1"/>
    <row r="13" ht="1.5" customHeight="1"/>
    <row r="14" ht="12.75">
      <c r="A14" s="28" t="s">
        <v>41</v>
      </c>
    </row>
    <row r="17" ht="11.25" customHeight="1"/>
    <row r="18" ht="12.75">
      <c r="A18" s="28" t="s">
        <v>83</v>
      </c>
    </row>
    <row r="22" ht="8.25" customHeight="1"/>
    <row r="23" ht="12.75">
      <c r="A23" s="28" t="s">
        <v>42</v>
      </c>
    </row>
    <row r="27" ht="18.75" customHeight="1"/>
    <row r="28" spans="1:11" ht="12.75">
      <c r="A28" s="28" t="s">
        <v>43</v>
      </c>
      <c r="B28" s="31"/>
      <c r="C28" s="31"/>
      <c r="D28" s="31"/>
      <c r="E28" s="31"/>
      <c r="F28" s="31"/>
      <c r="G28" s="31"/>
      <c r="H28" s="31"/>
      <c r="I28" s="31"/>
      <c r="J28" s="31"/>
      <c r="K28" s="31"/>
    </row>
    <row r="29" spans="2:11" ht="12.75">
      <c r="B29" s="31"/>
      <c r="C29" s="31"/>
      <c r="D29" s="31"/>
      <c r="E29" s="31"/>
      <c r="F29" s="31"/>
      <c r="G29" s="31"/>
      <c r="H29" s="31"/>
      <c r="I29" s="31"/>
      <c r="J29" s="31"/>
      <c r="K29" s="31"/>
    </row>
    <row r="30" spans="2:11" ht="12.75">
      <c r="B30" s="31"/>
      <c r="C30" s="31"/>
      <c r="D30" s="31"/>
      <c r="E30" s="31"/>
      <c r="F30" s="31"/>
      <c r="G30" s="31"/>
      <c r="H30" s="31"/>
      <c r="I30" s="31"/>
      <c r="J30" s="31"/>
      <c r="K30" s="31"/>
    </row>
    <row r="31" spans="2:11" ht="12.75">
      <c r="B31" s="31"/>
      <c r="C31" s="31"/>
      <c r="D31" s="31"/>
      <c r="E31" s="31"/>
      <c r="F31" s="31"/>
      <c r="G31" s="31"/>
      <c r="H31" s="31"/>
      <c r="I31" s="31"/>
      <c r="J31" s="31"/>
      <c r="K31" s="31"/>
    </row>
    <row r="32" spans="2:11" ht="12.75">
      <c r="B32" s="31"/>
      <c r="C32" s="31"/>
      <c r="D32" s="31"/>
      <c r="E32" s="31"/>
      <c r="F32" s="31"/>
      <c r="G32" s="31"/>
      <c r="H32" s="31"/>
      <c r="I32" s="31"/>
      <c r="J32" s="31"/>
      <c r="K32" s="31"/>
    </row>
    <row r="33" spans="2:11" ht="12.75">
      <c r="B33" s="31"/>
      <c r="C33" s="31"/>
      <c r="D33" s="31"/>
      <c r="E33" s="31"/>
      <c r="F33" s="31"/>
      <c r="G33" s="31"/>
      <c r="H33" s="31"/>
      <c r="I33" s="31"/>
      <c r="J33" s="31"/>
      <c r="K33" s="31"/>
    </row>
    <row r="34" spans="2:11" ht="12.75">
      <c r="B34" s="31"/>
      <c r="C34" s="31"/>
      <c r="D34" s="31"/>
      <c r="E34" s="31"/>
      <c r="F34" s="31"/>
      <c r="G34" s="31"/>
      <c r="H34" s="31"/>
      <c r="I34" s="31"/>
      <c r="J34" s="31"/>
      <c r="K34" s="31"/>
    </row>
    <row r="35" spans="2:11" ht="12.75">
      <c r="B35" s="31"/>
      <c r="C35" s="31"/>
      <c r="D35" s="31"/>
      <c r="E35" s="31"/>
      <c r="F35" s="31"/>
      <c r="G35" s="31"/>
      <c r="H35" s="31"/>
      <c r="I35" s="31"/>
      <c r="J35" s="31"/>
      <c r="K35" s="31"/>
    </row>
    <row r="36" spans="2:11" ht="12.75">
      <c r="B36" s="31"/>
      <c r="C36" s="31"/>
      <c r="D36" s="31"/>
      <c r="E36" s="31"/>
      <c r="F36" s="31"/>
      <c r="G36" s="31"/>
      <c r="H36" s="31"/>
      <c r="I36" s="31"/>
      <c r="J36" s="31"/>
      <c r="K36" s="31"/>
    </row>
    <row r="37" spans="2:11" ht="12.75">
      <c r="B37" s="31"/>
      <c r="C37" s="31"/>
      <c r="D37" s="31"/>
      <c r="E37" s="31"/>
      <c r="F37" s="31"/>
      <c r="G37" s="31"/>
      <c r="H37" s="31"/>
      <c r="I37" s="31"/>
      <c r="J37" s="31"/>
      <c r="K37" s="31"/>
    </row>
    <row r="38" spans="2:11" ht="55.5" customHeight="1">
      <c r="B38" s="31"/>
      <c r="C38" s="31"/>
      <c r="D38" s="31"/>
      <c r="E38" s="31"/>
      <c r="F38" s="31"/>
      <c r="G38" s="31"/>
      <c r="H38" s="31"/>
      <c r="I38" s="31"/>
      <c r="J38" s="31"/>
      <c r="K38" s="31"/>
    </row>
    <row r="39" ht="12" customHeight="1">
      <c r="A39" s="28" t="s">
        <v>44</v>
      </c>
    </row>
    <row r="42" ht="12.75">
      <c r="A42" s="28" t="s">
        <v>45</v>
      </c>
    </row>
    <row r="44" spans="1:11" ht="12.75">
      <c r="A44" s="925"/>
      <c r="B44" s="926"/>
      <c r="C44" s="926"/>
      <c r="D44" s="926"/>
      <c r="E44" s="926"/>
      <c r="F44" s="926"/>
      <c r="G44" s="926"/>
      <c r="H44" s="926"/>
      <c r="I44" s="926"/>
      <c r="J44" s="926"/>
      <c r="K44" s="926"/>
    </row>
    <row r="46" ht="16.5" customHeight="1"/>
    <row r="47" ht="12.75">
      <c r="A47" s="28" t="s">
        <v>46</v>
      </c>
    </row>
    <row r="49" ht="8.25" customHeight="1"/>
    <row r="50" ht="12.75">
      <c r="A50" s="28" t="s">
        <v>47</v>
      </c>
    </row>
    <row r="51" ht="29.25" customHeight="1"/>
    <row r="60" ht="12.75">
      <c r="K60" s="326" t="s">
        <v>576</v>
      </c>
    </row>
  </sheetData>
  <sheetProtection sheet="1" selectLockedCells="1"/>
  <mergeCells count="1">
    <mergeCell ref="A44:K44"/>
  </mergeCells>
  <printOptions horizontalCentered="1"/>
  <pageMargins left="0.1" right="0.1" top="0.1" bottom="0.1" header="0.5" footer="0.5"/>
  <pageSetup fitToHeight="1" fitToWidth="1" horizontalDpi="600" verticalDpi="600" orientation="portrait" scale="98" r:id="rId2"/>
  <drawing r:id="rId1"/>
</worksheet>
</file>

<file path=xl/worksheets/sheet12.xml><?xml version="1.0" encoding="utf-8"?>
<worksheet xmlns="http://schemas.openxmlformats.org/spreadsheetml/2006/main" xmlns:r="http://schemas.openxmlformats.org/officeDocument/2006/relationships">
  <dimension ref="A1:E63"/>
  <sheetViews>
    <sheetView zoomScalePageLayoutView="0" workbookViewId="0" topLeftCell="A1">
      <selection activeCell="E28" sqref="E28"/>
    </sheetView>
  </sheetViews>
  <sheetFormatPr defaultColWidth="9.140625" defaultRowHeight="12.75"/>
  <cols>
    <col min="1" max="1" width="9.140625" style="213" customWidth="1"/>
    <col min="2" max="2" width="53.00390625" style="213" customWidth="1"/>
    <col min="3" max="3" width="21.00390625" style="213" customWidth="1"/>
    <col min="4" max="4" width="17.28125" style="213" customWidth="1"/>
    <col min="5" max="5" width="18.421875" style="213" customWidth="1"/>
    <col min="6" max="16384" width="9.140625" style="213" customWidth="1"/>
  </cols>
  <sheetData>
    <row r="1" ht="12.75">
      <c r="A1" s="212" t="s">
        <v>440</v>
      </c>
    </row>
    <row r="2" ht="12.75">
      <c r="B2" s="213" t="s">
        <v>441</v>
      </c>
    </row>
    <row r="4" ht="12.75">
      <c r="A4" s="212" t="s">
        <v>442</v>
      </c>
    </row>
    <row r="5" spans="2:3" ht="12.75">
      <c r="B5" s="213" t="s">
        <v>443</v>
      </c>
      <c r="C5" s="214" t="s">
        <v>444</v>
      </c>
    </row>
    <row r="6" ht="12.75">
      <c r="C6" s="214"/>
    </row>
    <row r="7" spans="2:5" ht="12.75">
      <c r="B7" s="213" t="s">
        <v>445</v>
      </c>
      <c r="C7" s="215" t="s">
        <v>446</v>
      </c>
      <c r="D7" s="216"/>
      <c r="E7" s="216"/>
    </row>
    <row r="8" ht="12.75">
      <c r="C8" s="214"/>
    </row>
    <row r="9" ht="12.75">
      <c r="B9" s="217" t="s">
        <v>447</v>
      </c>
    </row>
    <row r="10" spans="2:3" ht="12.75">
      <c r="B10" s="217" t="s">
        <v>448</v>
      </c>
      <c r="C10" s="214" t="s">
        <v>449</v>
      </c>
    </row>
    <row r="11" spans="2:3" ht="12.75">
      <c r="B11" s="217" t="s">
        <v>450</v>
      </c>
      <c r="C11" s="214" t="s">
        <v>451</v>
      </c>
    </row>
    <row r="12" spans="2:3" ht="12.75">
      <c r="B12" s="217" t="s">
        <v>452</v>
      </c>
      <c r="C12" s="214" t="s">
        <v>453</v>
      </c>
    </row>
    <row r="13" spans="2:3" ht="12.75">
      <c r="B13" s="217" t="s">
        <v>454</v>
      </c>
      <c r="C13" s="214" t="s">
        <v>455</v>
      </c>
    </row>
    <row r="14" spans="2:3" ht="12.75">
      <c r="B14" s="217" t="s">
        <v>456</v>
      </c>
      <c r="C14" s="214" t="s">
        <v>457</v>
      </c>
    </row>
    <row r="15" spans="2:3" ht="12.75">
      <c r="B15" s="218" t="s">
        <v>458</v>
      </c>
      <c r="C15" s="215" t="s">
        <v>459</v>
      </c>
    </row>
    <row r="16" spans="2:3" ht="12.75">
      <c r="B16" s="217"/>
      <c r="C16" s="214"/>
    </row>
    <row r="17" ht="12.75">
      <c r="B17" s="217" t="s">
        <v>460</v>
      </c>
    </row>
    <row r="18" spans="2:5" ht="12.75">
      <c r="B18" s="219" t="s">
        <v>310</v>
      </c>
      <c r="C18" s="219" t="s">
        <v>391</v>
      </c>
      <c r="D18" s="219" t="s">
        <v>399</v>
      </c>
      <c r="E18" s="219" t="s">
        <v>461</v>
      </c>
    </row>
    <row r="19" spans="2:5" ht="12.75">
      <c r="B19" s="220" t="s">
        <v>462</v>
      </c>
      <c r="C19" s="221">
        <v>559.9383250819637</v>
      </c>
      <c r="D19" s="222">
        <v>605.2239702887576</v>
      </c>
      <c r="E19" s="222">
        <v>632.0371475006098</v>
      </c>
    </row>
    <row r="20" spans="2:5" ht="12.75">
      <c r="B20" s="223" t="s">
        <v>388</v>
      </c>
      <c r="C20" s="222">
        <v>352.22523464423926</v>
      </c>
      <c r="D20" s="222">
        <v>372.19285676539994</v>
      </c>
      <c r="E20" s="222">
        <v>383.8099713085301</v>
      </c>
    </row>
    <row r="21" spans="2:5" ht="12.75">
      <c r="B21" s="223" t="s">
        <v>402</v>
      </c>
      <c r="C21" s="222">
        <v>757.5152407214097</v>
      </c>
      <c r="D21" s="222">
        <v>801.8492718032786</v>
      </c>
      <c r="E21" s="222">
        <v>827.6774454927063</v>
      </c>
    </row>
    <row r="22" spans="2:5" ht="12.75">
      <c r="B22" s="223" t="s">
        <v>463</v>
      </c>
      <c r="C22" s="222">
        <v>642.9996476224662</v>
      </c>
      <c r="D22" s="222">
        <v>713.7162113009424</v>
      </c>
      <c r="E22" s="222">
        <v>756.4561434768084</v>
      </c>
    </row>
    <row r="23" spans="2:5" ht="12.75">
      <c r="B23" s="223" t="s">
        <v>464</v>
      </c>
      <c r="C23" s="222">
        <v>1247.5751159808522</v>
      </c>
      <c r="D23" s="222">
        <v>1348.3841470851744</v>
      </c>
      <c r="E23" s="222">
        <v>1408.0690803700502</v>
      </c>
    </row>
    <row r="24" spans="2:5" ht="12.75">
      <c r="B24" s="223" t="s">
        <v>465</v>
      </c>
      <c r="C24" s="222">
        <v>1047.174938765738</v>
      </c>
      <c r="D24" s="222">
        <v>1138.3072563037574</v>
      </c>
      <c r="E24" s="222">
        <v>1192.5033139814775</v>
      </c>
    </row>
    <row r="25" spans="2:5" ht="12.75">
      <c r="B25" s="223" t="s">
        <v>395</v>
      </c>
      <c r="C25" s="222">
        <v>850.9805442126205</v>
      </c>
      <c r="D25" s="222">
        <v>883.5726128660209</v>
      </c>
      <c r="E25" s="222">
        <v>902.2779969091371</v>
      </c>
    </row>
    <row r="26" spans="2:5" ht="12.75">
      <c r="B26" s="223" t="s">
        <v>396</v>
      </c>
      <c r="C26" s="222">
        <v>752.9912576111836</v>
      </c>
      <c r="D26" s="222">
        <v>824.2792750823033</v>
      </c>
      <c r="E26" s="222">
        <v>866.9045419749287</v>
      </c>
    </row>
    <row r="27" spans="2:5" ht="12.75">
      <c r="B27" s="224"/>
      <c r="C27" s="225"/>
      <c r="D27" s="225"/>
      <c r="E27" s="225"/>
    </row>
    <row r="28" spans="2:5" ht="12.75">
      <c r="B28" s="224"/>
      <c r="C28" s="225"/>
      <c r="D28" s="225"/>
      <c r="E28" s="225"/>
    </row>
    <row r="29" spans="1:5" ht="12.75">
      <c r="A29" s="212" t="s">
        <v>466</v>
      </c>
      <c r="B29" s="224"/>
      <c r="C29" s="225"/>
      <c r="D29" s="225"/>
      <c r="E29" s="225"/>
    </row>
    <row r="30" spans="2:5" ht="12.75">
      <c r="B30" s="226" t="s">
        <v>467</v>
      </c>
      <c r="C30" s="227"/>
      <c r="D30" s="225"/>
      <c r="E30" s="225"/>
    </row>
    <row r="31" spans="2:3" ht="12.75">
      <c r="B31" s="219" t="s">
        <v>468</v>
      </c>
      <c r="C31" s="228" t="s">
        <v>466</v>
      </c>
    </row>
    <row r="32" spans="2:3" ht="12.75">
      <c r="B32" s="220" t="str">
        <f>B44</f>
        <v>High Eff Rooftop Unit &lt;65 kBTU/h (5.42 tons)</v>
      </c>
      <c r="C32" s="229">
        <v>703.424</v>
      </c>
    </row>
    <row r="33" spans="2:3" ht="12.75">
      <c r="B33" s="220" t="str">
        <f>B45</f>
        <v>High Eff Rooftop Unit =&gt; 65 and &lt; 135 kBtu/h (5.42 to 11.25 tons)</v>
      </c>
      <c r="C33" s="229">
        <v>1245.8458799999996</v>
      </c>
    </row>
    <row r="34" spans="2:3" ht="12.75">
      <c r="B34" s="220" t="str">
        <f>B46</f>
        <v>High Eff Rooftop Unit =&gt;135 and &lt; 239 KBTU/h (11.25 to 20 tons)</v>
      </c>
      <c r="C34" s="229">
        <v>1728.0432000000008</v>
      </c>
    </row>
    <row r="35" spans="2:3" ht="12.75">
      <c r="B35" s="220" t="str">
        <f>B47</f>
        <v>High Eff Rooftop Unit =&gt;240 and &lt; 759 kBTU/h (20 to 63.33 tons)</v>
      </c>
      <c r="C35" s="229">
        <v>4821.729300000001</v>
      </c>
    </row>
    <row r="36" spans="2:3" ht="12.75">
      <c r="B36" s="220" t="str">
        <f>B48</f>
        <v>High Eff Rooftop Unit =&gt; 760 kBTU/h (63.33 tons) </v>
      </c>
      <c r="C36" s="229">
        <v>6870.78</v>
      </c>
    </row>
    <row r="37" spans="2:3" ht="12.75">
      <c r="B37" s="226"/>
      <c r="C37" s="230"/>
    </row>
    <row r="38" s="226" customFormat="1" ht="12.75">
      <c r="A38" s="231" t="s">
        <v>469</v>
      </c>
    </row>
    <row r="39" spans="2:3" s="226" customFormat="1" ht="12.75">
      <c r="B39" s="216" t="s">
        <v>470</v>
      </c>
      <c r="C39" s="225"/>
    </row>
    <row r="40" spans="2:3" ht="12.75">
      <c r="B40" s="226"/>
      <c r="C40" s="225"/>
    </row>
    <row r="41" ht="12.75">
      <c r="A41" s="212" t="s">
        <v>471</v>
      </c>
    </row>
    <row r="42" spans="2:3" ht="12.75">
      <c r="B42" s="226" t="s">
        <v>472</v>
      </c>
      <c r="C42" s="226"/>
    </row>
    <row r="43" spans="2:3" ht="12.75">
      <c r="B43" s="219" t="s">
        <v>468</v>
      </c>
      <c r="C43" s="219" t="s">
        <v>452</v>
      </c>
    </row>
    <row r="44" spans="2:3" ht="12.75">
      <c r="B44" s="220" t="s">
        <v>397</v>
      </c>
      <c r="C44" s="232">
        <v>13.1</v>
      </c>
    </row>
    <row r="45" spans="2:3" ht="12.75">
      <c r="B45" s="220" t="s">
        <v>400</v>
      </c>
      <c r="C45" s="233">
        <v>11.6</v>
      </c>
    </row>
    <row r="46" spans="2:3" ht="12.75">
      <c r="B46" s="220" t="s">
        <v>403</v>
      </c>
      <c r="C46" s="233">
        <v>11.5</v>
      </c>
    </row>
    <row r="47" spans="2:3" ht="12.75">
      <c r="B47" s="220" t="s">
        <v>405</v>
      </c>
      <c r="C47" s="233">
        <v>10.5</v>
      </c>
    </row>
    <row r="48" spans="2:3" ht="12.75">
      <c r="B48" s="220" t="s">
        <v>407</v>
      </c>
      <c r="C48" s="233">
        <v>9.4</v>
      </c>
    </row>
    <row r="50" ht="12.75">
      <c r="B50" s="213" t="s">
        <v>473</v>
      </c>
    </row>
    <row r="51" spans="2:3" ht="12.75">
      <c r="B51" s="234" t="s">
        <v>468</v>
      </c>
      <c r="C51" s="219" t="s">
        <v>450</v>
      </c>
    </row>
    <row r="52" spans="2:4" ht="12.75">
      <c r="B52" s="223" t="s">
        <v>398</v>
      </c>
      <c r="C52" s="223">
        <v>9.7</v>
      </c>
      <c r="D52" s="213" t="s">
        <v>474</v>
      </c>
    </row>
    <row r="53" spans="2:3" ht="12.75">
      <c r="B53" s="223" t="s">
        <v>401</v>
      </c>
      <c r="C53" s="235">
        <v>8.9</v>
      </c>
    </row>
    <row r="54" spans="2:3" ht="12.75">
      <c r="B54" s="223" t="s">
        <v>404</v>
      </c>
      <c r="C54" s="236">
        <v>8.5</v>
      </c>
    </row>
    <row r="55" spans="2:3" ht="12.75">
      <c r="B55" s="223" t="s">
        <v>406</v>
      </c>
      <c r="C55" s="236">
        <v>8.5</v>
      </c>
    </row>
    <row r="56" spans="2:3" ht="12.75">
      <c r="B56" s="223" t="s">
        <v>408</v>
      </c>
      <c r="C56" s="236">
        <v>8.2</v>
      </c>
    </row>
    <row r="58" ht="12.75">
      <c r="A58" s="212" t="s">
        <v>475</v>
      </c>
    </row>
    <row r="59" spans="1:2" ht="12.75">
      <c r="A59" s="237">
        <v>1</v>
      </c>
      <c r="B59" s="213" t="s">
        <v>476</v>
      </c>
    </row>
    <row r="60" spans="1:2" ht="12.75">
      <c r="A60" s="213">
        <v>2</v>
      </c>
      <c r="B60" s="213" t="s">
        <v>477</v>
      </c>
    </row>
    <row r="61" spans="1:2" ht="12.75">
      <c r="A61" s="216">
        <v>3</v>
      </c>
      <c r="B61" s="216" t="s">
        <v>478</v>
      </c>
    </row>
    <row r="62" spans="1:2" ht="12.75">
      <c r="A62" s="216">
        <v>4</v>
      </c>
      <c r="B62" s="216" t="s">
        <v>479</v>
      </c>
    </row>
    <row r="63" spans="1:2" ht="12.75">
      <c r="A63" s="216">
        <v>5</v>
      </c>
      <c r="B63" s="216" t="s">
        <v>480</v>
      </c>
    </row>
  </sheetData>
  <sheetProtection/>
  <printOptions/>
  <pageMargins left="0.75" right="0.75" top="1" bottom="1" header="0.5" footer="0.5"/>
  <pageSetup horizontalDpi="600" verticalDpi="600" orientation="portrait" scale="52" r:id="rId1"/>
</worksheet>
</file>

<file path=xl/worksheets/sheet13.xml><?xml version="1.0" encoding="utf-8"?>
<worksheet xmlns="http://schemas.openxmlformats.org/spreadsheetml/2006/main" xmlns:r="http://schemas.openxmlformats.org/officeDocument/2006/relationships">
  <dimension ref="A1:E56"/>
  <sheetViews>
    <sheetView zoomScalePageLayoutView="0" workbookViewId="0" topLeftCell="A1">
      <selection activeCell="B67" sqref="B67"/>
    </sheetView>
  </sheetViews>
  <sheetFormatPr defaultColWidth="9.140625" defaultRowHeight="12.75"/>
  <cols>
    <col min="1" max="1" width="5.140625" style="213" customWidth="1"/>
    <col min="2" max="2" width="51.28125" style="213" customWidth="1"/>
    <col min="3" max="3" width="20.8515625" style="213" customWidth="1"/>
    <col min="4" max="4" width="19.140625" style="213" customWidth="1"/>
    <col min="5" max="5" width="19.421875" style="213" customWidth="1"/>
    <col min="6" max="6" width="14.57421875" style="213" customWidth="1"/>
    <col min="7" max="16384" width="9.140625" style="213" customWidth="1"/>
  </cols>
  <sheetData>
    <row r="1" ht="12.75">
      <c r="A1" s="212" t="s">
        <v>440</v>
      </c>
    </row>
    <row r="2" ht="12.75">
      <c r="B2" s="213" t="s">
        <v>481</v>
      </c>
    </row>
    <row r="4" ht="12.75">
      <c r="A4" s="212" t="s">
        <v>442</v>
      </c>
    </row>
    <row r="5" spans="2:3" ht="12.75">
      <c r="B5" s="213" t="s">
        <v>443</v>
      </c>
      <c r="C5" s="214" t="s">
        <v>534</v>
      </c>
    </row>
    <row r="7" spans="2:3" ht="12.75">
      <c r="B7" s="213" t="s">
        <v>445</v>
      </c>
      <c r="C7" s="214" t="s">
        <v>482</v>
      </c>
    </row>
    <row r="8" ht="12.75">
      <c r="C8" s="214"/>
    </row>
    <row r="9" ht="12.75">
      <c r="B9" s="217" t="s">
        <v>447</v>
      </c>
    </row>
    <row r="10" spans="2:3" ht="12.75">
      <c r="B10" s="217" t="s">
        <v>448</v>
      </c>
      <c r="C10" s="214" t="s">
        <v>483</v>
      </c>
    </row>
    <row r="11" spans="2:3" ht="12.75">
      <c r="B11" s="217" t="s">
        <v>452</v>
      </c>
      <c r="C11" s="214" t="s">
        <v>484</v>
      </c>
    </row>
    <row r="12" spans="2:3" ht="12.75">
      <c r="B12" s="217" t="s">
        <v>485</v>
      </c>
      <c r="C12" s="214" t="s">
        <v>486</v>
      </c>
    </row>
    <row r="13" spans="2:3" ht="12.75">
      <c r="B13" s="217" t="s">
        <v>487</v>
      </c>
      <c r="C13" s="214" t="s">
        <v>488</v>
      </c>
    </row>
    <row r="14" spans="2:3" ht="12.75">
      <c r="B14" s="218" t="s">
        <v>458</v>
      </c>
      <c r="C14" s="215" t="s">
        <v>489</v>
      </c>
    </row>
    <row r="15" spans="2:3" ht="12.75">
      <c r="B15" s="217"/>
      <c r="C15" s="214"/>
    </row>
    <row r="16" ht="12.75">
      <c r="B16" s="217" t="s">
        <v>490</v>
      </c>
    </row>
    <row r="17" spans="2:5" ht="12.75">
      <c r="B17" s="219" t="s">
        <v>310</v>
      </c>
      <c r="C17" s="219" t="s">
        <v>391</v>
      </c>
      <c r="D17" s="219" t="s">
        <v>399</v>
      </c>
      <c r="E17" s="219" t="s">
        <v>461</v>
      </c>
    </row>
    <row r="18" spans="2:5" ht="12.75">
      <c r="B18" s="220" t="s">
        <v>462</v>
      </c>
      <c r="C18" s="221">
        <v>559.9383250819637</v>
      </c>
      <c r="D18" s="222">
        <v>605.2239702887576</v>
      </c>
      <c r="E18" s="222">
        <v>632.0371475006098</v>
      </c>
    </row>
    <row r="19" spans="2:5" ht="12.75">
      <c r="B19" s="223" t="s">
        <v>388</v>
      </c>
      <c r="C19" s="222">
        <v>352.22523464423926</v>
      </c>
      <c r="D19" s="222">
        <v>372.19285676539994</v>
      </c>
      <c r="E19" s="222">
        <v>383.8099713085301</v>
      </c>
    </row>
    <row r="20" spans="2:5" ht="12.75">
      <c r="B20" s="223" t="s">
        <v>402</v>
      </c>
      <c r="C20" s="222">
        <v>757.5152407214097</v>
      </c>
      <c r="D20" s="222">
        <v>801.8492718032786</v>
      </c>
      <c r="E20" s="222">
        <v>827.6774454927063</v>
      </c>
    </row>
    <row r="21" spans="2:5" ht="12.75">
      <c r="B21" s="223" t="s">
        <v>463</v>
      </c>
      <c r="C21" s="222">
        <v>642.9996476224662</v>
      </c>
      <c r="D21" s="222">
        <v>713.7162113009424</v>
      </c>
      <c r="E21" s="222">
        <v>756.4561434768084</v>
      </c>
    </row>
    <row r="22" spans="2:5" ht="12.75">
      <c r="B22" s="223" t="s">
        <v>464</v>
      </c>
      <c r="C22" s="222">
        <v>1247.5751159808522</v>
      </c>
      <c r="D22" s="222">
        <v>1348.3841470851744</v>
      </c>
      <c r="E22" s="222">
        <v>1408.0690803700502</v>
      </c>
    </row>
    <row r="23" spans="2:5" ht="12.75">
      <c r="B23" s="223" t="s">
        <v>465</v>
      </c>
      <c r="C23" s="222">
        <v>1047.174938765738</v>
      </c>
      <c r="D23" s="222">
        <v>1138.3072563037574</v>
      </c>
      <c r="E23" s="222">
        <v>1192.5033139814775</v>
      </c>
    </row>
    <row r="24" spans="2:5" ht="12.75">
      <c r="B24" s="223" t="s">
        <v>395</v>
      </c>
      <c r="C24" s="222">
        <v>850.9805442126205</v>
      </c>
      <c r="D24" s="222">
        <v>883.5726128660209</v>
      </c>
      <c r="E24" s="222">
        <v>902.2779969091371</v>
      </c>
    </row>
    <row r="25" spans="2:5" ht="12.75">
      <c r="B25" s="223" t="s">
        <v>396</v>
      </c>
      <c r="C25" s="222">
        <v>752.9912576111836</v>
      </c>
      <c r="D25" s="222">
        <v>824.2792750823033</v>
      </c>
      <c r="E25" s="222">
        <v>866.9045419749287</v>
      </c>
    </row>
    <row r="26" spans="2:5" ht="12.75">
      <c r="B26" s="224"/>
      <c r="C26" s="225"/>
      <c r="D26" s="225"/>
      <c r="E26" s="225"/>
    </row>
    <row r="27" spans="2:5" ht="12.75">
      <c r="B27" s="224"/>
      <c r="C27" s="225"/>
      <c r="D27" s="225"/>
      <c r="E27" s="225"/>
    </row>
    <row r="28" spans="1:5" ht="12.75">
      <c r="A28" s="212" t="s">
        <v>466</v>
      </c>
      <c r="B28" s="224"/>
      <c r="C28" s="225"/>
      <c r="D28" s="225"/>
      <c r="E28" s="225"/>
    </row>
    <row r="29" spans="2:5" ht="12.75">
      <c r="B29" s="226" t="s">
        <v>491</v>
      </c>
      <c r="C29" s="227"/>
      <c r="D29" s="225"/>
      <c r="E29" s="225"/>
    </row>
    <row r="30" spans="2:4" ht="12.75">
      <c r="B30" s="219" t="s">
        <v>468</v>
      </c>
      <c r="C30" s="228" t="s">
        <v>466</v>
      </c>
      <c r="D30" s="216"/>
    </row>
    <row r="31" spans="2:3" ht="12.75">
      <c r="B31" s="220" t="str">
        <f>B43</f>
        <v>High Eff PTAC Electric - 7 kBtu/h (0.58 tons)</v>
      </c>
      <c r="C31" s="238">
        <v>105</v>
      </c>
    </row>
    <row r="32" spans="2:3" ht="12.75">
      <c r="B32" s="220" t="s">
        <v>492</v>
      </c>
      <c r="C32" s="229">
        <v>166</v>
      </c>
    </row>
    <row r="33" spans="2:3" ht="12.75">
      <c r="B33" s="220" t="str">
        <f>B45</f>
        <v>High Eff PTAC Electric - 15 kBtu/h (1.25 tons)</v>
      </c>
      <c r="C33" s="238">
        <v>226</v>
      </c>
    </row>
    <row r="34" spans="4:5" ht="12.75">
      <c r="D34" s="230"/>
      <c r="E34" s="239"/>
    </row>
    <row r="35" spans="2:5" ht="12.75">
      <c r="B35" s="226"/>
      <c r="D35" s="225"/>
      <c r="E35" s="225"/>
    </row>
    <row r="36" s="226" customFormat="1" ht="12.75">
      <c r="A36" s="231" t="s">
        <v>469</v>
      </c>
    </row>
    <row r="37" spans="2:3" s="226" customFormat="1" ht="12.75">
      <c r="B37" s="213" t="s">
        <v>493</v>
      </c>
      <c r="C37" s="225"/>
    </row>
    <row r="38" s="226" customFormat="1" ht="12.75">
      <c r="C38" s="225"/>
    </row>
    <row r="39" s="226" customFormat="1" ht="12.75">
      <c r="C39" s="225"/>
    </row>
    <row r="40" ht="12.75">
      <c r="A40" s="212" t="s">
        <v>471</v>
      </c>
    </row>
    <row r="41" spans="2:4" ht="12.75">
      <c r="B41" s="226" t="s">
        <v>494</v>
      </c>
      <c r="C41" s="226"/>
      <c r="D41" s="226"/>
    </row>
    <row r="42" spans="2:3" ht="12.75">
      <c r="B42" s="219" t="s">
        <v>468</v>
      </c>
      <c r="C42" s="219" t="s">
        <v>452</v>
      </c>
    </row>
    <row r="43" spans="2:3" ht="12.75">
      <c r="B43" s="220" t="s">
        <v>409</v>
      </c>
      <c r="C43" s="232">
        <v>13.2</v>
      </c>
    </row>
    <row r="44" spans="2:3" ht="12.75">
      <c r="B44" s="220" t="s">
        <v>492</v>
      </c>
      <c r="C44" s="232">
        <v>12.2</v>
      </c>
    </row>
    <row r="45" spans="2:3" ht="12.75">
      <c r="B45" s="220" t="s">
        <v>495</v>
      </c>
      <c r="C45" s="233">
        <v>10.3</v>
      </c>
    </row>
    <row r="46" spans="2:4" ht="12.75">
      <c r="B46" s="226"/>
      <c r="C46" s="240"/>
      <c r="D46" s="241"/>
    </row>
    <row r="47" spans="2:4" ht="12.75">
      <c r="B47" s="226" t="s">
        <v>496</v>
      </c>
      <c r="C47" s="226"/>
      <c r="D47" s="226"/>
    </row>
    <row r="48" spans="2:3" ht="12.75">
      <c r="B48" s="219" t="s">
        <v>468</v>
      </c>
      <c r="C48" s="219" t="s">
        <v>485</v>
      </c>
    </row>
    <row r="49" spans="2:3" ht="12.75">
      <c r="B49" s="220" t="s">
        <v>410</v>
      </c>
      <c r="C49" s="233">
        <v>11.009</v>
      </c>
    </row>
    <row r="50" spans="2:3" ht="12.75">
      <c r="B50" s="220" t="s">
        <v>492</v>
      </c>
      <c r="C50" s="233">
        <v>10.2</v>
      </c>
    </row>
    <row r="51" spans="2:3" ht="12.75">
      <c r="B51" s="220" t="s">
        <v>497</v>
      </c>
      <c r="C51" s="242">
        <v>9.305</v>
      </c>
    </row>
    <row r="52" spans="2:4" ht="12.75">
      <c r="B52" s="226"/>
      <c r="C52" s="240"/>
      <c r="D52" s="241"/>
    </row>
    <row r="53" ht="12.75">
      <c r="A53" s="212" t="s">
        <v>475</v>
      </c>
    </row>
    <row r="54" spans="1:2" ht="12.75">
      <c r="A54" s="237">
        <v>1</v>
      </c>
      <c r="B54" s="213" t="s">
        <v>498</v>
      </c>
    </row>
    <row r="55" spans="1:2" ht="12.75">
      <c r="A55" s="213">
        <v>2</v>
      </c>
      <c r="B55" s="216" t="s">
        <v>478</v>
      </c>
    </row>
    <row r="56" spans="1:2" ht="12.75">
      <c r="A56" s="213">
        <v>3</v>
      </c>
      <c r="B56" s="216" t="s">
        <v>479</v>
      </c>
    </row>
  </sheetData>
  <sheetProtection/>
  <printOptions/>
  <pageMargins left="0.75" right="0.75" top="1" bottom="1" header="0.5" footer="0.5"/>
  <pageSetup horizontalDpi="600" verticalDpi="600" orientation="portrait" scale="59" r:id="rId1"/>
</worksheet>
</file>

<file path=xl/worksheets/sheet14.xml><?xml version="1.0" encoding="utf-8"?>
<worksheet xmlns="http://schemas.openxmlformats.org/spreadsheetml/2006/main" xmlns:r="http://schemas.openxmlformats.org/officeDocument/2006/relationships">
  <dimension ref="A1:E58"/>
  <sheetViews>
    <sheetView zoomScale="75" zoomScaleNormal="75" zoomScalePageLayoutView="0" workbookViewId="0" topLeftCell="A1">
      <selection activeCell="C8" sqref="C8"/>
    </sheetView>
  </sheetViews>
  <sheetFormatPr defaultColWidth="9.140625" defaultRowHeight="12.75"/>
  <cols>
    <col min="1" max="1" width="9.140625" style="213" customWidth="1"/>
    <col min="2" max="2" width="47.7109375" style="213" customWidth="1"/>
    <col min="3" max="3" width="27.421875" style="213" customWidth="1"/>
    <col min="4" max="4" width="20.7109375" style="213" bestFit="1" customWidth="1"/>
    <col min="5" max="5" width="18.421875" style="213" customWidth="1"/>
    <col min="6" max="16384" width="9.140625" style="213" customWidth="1"/>
  </cols>
  <sheetData>
    <row r="1" ht="12.75">
      <c r="A1" s="212" t="s">
        <v>440</v>
      </c>
    </row>
    <row r="2" ht="12.75">
      <c r="B2" s="213" t="s">
        <v>499</v>
      </c>
    </row>
    <row r="4" ht="12.75">
      <c r="A4" s="212" t="s">
        <v>442</v>
      </c>
    </row>
    <row r="5" spans="2:3" ht="12.75">
      <c r="B5" s="213" t="s">
        <v>443</v>
      </c>
      <c r="C5" s="214" t="s">
        <v>500</v>
      </c>
    </row>
    <row r="7" spans="2:3" ht="12.75">
      <c r="B7" s="213" t="s">
        <v>445</v>
      </c>
      <c r="C7" s="668" t="s">
        <v>713</v>
      </c>
    </row>
    <row r="8" ht="12.75">
      <c r="C8" s="214"/>
    </row>
    <row r="9" ht="12.75">
      <c r="B9" s="217" t="s">
        <v>447</v>
      </c>
    </row>
    <row r="10" spans="2:3" ht="12.75">
      <c r="B10" s="217" t="s">
        <v>501</v>
      </c>
      <c r="C10" s="214" t="s">
        <v>502</v>
      </c>
    </row>
    <row r="11" spans="2:3" ht="12.75">
      <c r="B11" s="217" t="s">
        <v>503</v>
      </c>
      <c r="C11" s="214" t="s">
        <v>504</v>
      </c>
    </row>
    <row r="12" spans="2:3" ht="12.75">
      <c r="B12" s="217" t="s">
        <v>505</v>
      </c>
      <c r="C12" s="214" t="s">
        <v>506</v>
      </c>
    </row>
    <row r="13" spans="2:3" ht="12.75">
      <c r="B13" s="217" t="s">
        <v>454</v>
      </c>
      <c r="C13" s="214" t="s">
        <v>455</v>
      </c>
    </row>
    <row r="14" spans="2:3" ht="12.75">
      <c r="B14" s="217" t="s">
        <v>458</v>
      </c>
      <c r="C14" s="215" t="s">
        <v>507</v>
      </c>
    </row>
    <row r="15" ht="12.75">
      <c r="B15" s="217"/>
    </row>
    <row r="16" ht="12.75">
      <c r="B16" s="217" t="s">
        <v>508</v>
      </c>
    </row>
    <row r="17" spans="2:5" ht="12.75">
      <c r="B17" s="219" t="s">
        <v>310</v>
      </c>
      <c r="C17" s="219" t="s">
        <v>391</v>
      </c>
      <c r="D17" s="219" t="s">
        <v>399</v>
      </c>
      <c r="E17" s="219" t="s">
        <v>461</v>
      </c>
    </row>
    <row r="18" spans="2:5" ht="12.75">
      <c r="B18" s="220" t="s">
        <v>462</v>
      </c>
      <c r="C18" s="221">
        <v>559.9383250819637</v>
      </c>
      <c r="D18" s="222">
        <v>605.2239702887576</v>
      </c>
      <c r="E18" s="222">
        <v>632.0371475006098</v>
      </c>
    </row>
    <row r="19" spans="2:5" ht="12.75">
      <c r="B19" s="223" t="s">
        <v>388</v>
      </c>
      <c r="C19" s="222">
        <v>352.22523464423926</v>
      </c>
      <c r="D19" s="222">
        <v>372.19285676539994</v>
      </c>
      <c r="E19" s="222">
        <v>383.8099713085301</v>
      </c>
    </row>
    <row r="20" spans="2:5" ht="12.75">
      <c r="B20" s="223" t="s">
        <v>402</v>
      </c>
      <c r="C20" s="222">
        <v>757.5152407214097</v>
      </c>
      <c r="D20" s="222">
        <v>801.8492718032786</v>
      </c>
      <c r="E20" s="222">
        <v>827.6774454927063</v>
      </c>
    </row>
    <row r="21" spans="2:5" ht="12.75">
      <c r="B21" s="223" t="s">
        <v>463</v>
      </c>
      <c r="C21" s="222">
        <v>642.9996476224662</v>
      </c>
      <c r="D21" s="222">
        <v>713.7162113009424</v>
      </c>
      <c r="E21" s="222">
        <v>756.4561434768084</v>
      </c>
    </row>
    <row r="22" spans="2:5" ht="12.75">
      <c r="B22" s="223" t="s">
        <v>464</v>
      </c>
      <c r="C22" s="222">
        <v>1247.5751159808522</v>
      </c>
      <c r="D22" s="222">
        <v>1348.3841470851744</v>
      </c>
      <c r="E22" s="222">
        <v>1408.0690803700502</v>
      </c>
    </row>
    <row r="23" spans="2:5" ht="12.75">
      <c r="B23" s="223" t="s">
        <v>465</v>
      </c>
      <c r="C23" s="222">
        <v>1047.174938765738</v>
      </c>
      <c r="D23" s="222">
        <v>1138.3072563037574</v>
      </c>
      <c r="E23" s="222">
        <v>1192.5033139814775</v>
      </c>
    </row>
    <row r="24" spans="2:5" ht="12.75">
      <c r="B24" s="223" t="s">
        <v>395</v>
      </c>
      <c r="C24" s="222">
        <v>850.9805442126205</v>
      </c>
      <c r="D24" s="222">
        <v>883.5726128660209</v>
      </c>
      <c r="E24" s="222">
        <v>902.2779969091371</v>
      </c>
    </row>
    <row r="25" spans="2:5" ht="12.75">
      <c r="B25" s="223" t="s">
        <v>396</v>
      </c>
      <c r="C25" s="222">
        <v>752.9912576111836</v>
      </c>
      <c r="D25" s="222">
        <v>824.2792750823033</v>
      </c>
      <c r="E25" s="222">
        <v>866.9045419749287</v>
      </c>
    </row>
    <row r="26" spans="2:5" ht="12.75">
      <c r="B26" s="224"/>
      <c r="C26" s="225"/>
      <c r="D26" s="225"/>
      <c r="E26" s="225"/>
    </row>
    <row r="28" spans="1:5" ht="12.75">
      <c r="A28" s="212" t="s">
        <v>509</v>
      </c>
      <c r="B28" s="224"/>
      <c r="C28" s="225"/>
      <c r="D28" s="225"/>
      <c r="E28" s="225"/>
    </row>
    <row r="29" spans="2:5" ht="12.75">
      <c r="B29" s="226" t="s">
        <v>510</v>
      </c>
      <c r="C29" s="227"/>
      <c r="D29" s="225"/>
      <c r="E29" s="225"/>
    </row>
    <row r="30" spans="2:5" ht="12.75">
      <c r="B30" s="219" t="s">
        <v>468</v>
      </c>
      <c r="C30" s="228" t="s">
        <v>511</v>
      </c>
      <c r="D30" s="225"/>
      <c r="E30" s="225"/>
    </row>
    <row r="31" spans="2:5" ht="12.75">
      <c r="B31" s="223" t="str">
        <f>B48</f>
        <v>High Eff Centrifugal Chiller, &lt;150 ton</v>
      </c>
      <c r="C31" s="243">
        <v>145.519</v>
      </c>
      <c r="D31" s="225"/>
      <c r="E31" s="225"/>
    </row>
    <row r="32" spans="2:5" ht="12.75">
      <c r="B32" s="223" t="str">
        <f>B49</f>
        <v>High Eff Centrifugal Chiller, 150 - 300 ton</v>
      </c>
      <c r="C32" s="244">
        <v>93.842</v>
      </c>
      <c r="D32" s="225"/>
      <c r="E32" s="225"/>
    </row>
    <row r="33" spans="2:3" s="226" customFormat="1" ht="12.75">
      <c r="B33" s="223" t="str">
        <f>B50</f>
        <v>High Eff Centrifugal Chiller, =&gt;300 ton</v>
      </c>
      <c r="C33" s="245">
        <v>65.581</v>
      </c>
    </row>
    <row r="34" spans="2:3" s="226" customFormat="1" ht="12.75">
      <c r="B34" s="224"/>
      <c r="C34" s="246"/>
    </row>
    <row r="35" spans="1:3" s="226" customFormat="1" ht="12.75">
      <c r="A35" s="231" t="s">
        <v>469</v>
      </c>
      <c r="B35" s="224"/>
      <c r="C35" s="246"/>
    </row>
    <row r="36" spans="2:3" s="226" customFormat="1" ht="12.75">
      <c r="B36" s="224" t="s">
        <v>512</v>
      </c>
      <c r="C36" s="246"/>
    </row>
    <row r="37" s="226" customFormat="1" ht="12.75">
      <c r="C37" s="227"/>
    </row>
    <row r="38" ht="12.75">
      <c r="A38" s="212" t="s">
        <v>471</v>
      </c>
    </row>
    <row r="39" ht="12.75">
      <c r="A39" s="212"/>
    </row>
    <row r="40" spans="2:3" ht="12.75">
      <c r="B40" s="226" t="s">
        <v>513</v>
      </c>
      <c r="C40" s="226"/>
    </row>
    <row r="41" spans="2:3" ht="12.75">
      <c r="B41" s="219" t="s">
        <v>514</v>
      </c>
      <c r="C41" s="219" t="s">
        <v>438</v>
      </c>
    </row>
    <row r="42" spans="2:3" ht="12.75">
      <c r="B42" s="223" t="s">
        <v>426</v>
      </c>
      <c r="C42" s="223">
        <v>0.63</v>
      </c>
    </row>
    <row r="43" spans="2:3" ht="12.75">
      <c r="B43" s="223" t="s">
        <v>428</v>
      </c>
      <c r="C43" s="223">
        <v>0.63</v>
      </c>
    </row>
    <row r="44" spans="2:3" ht="12.75">
      <c r="B44" s="223" t="s">
        <v>430</v>
      </c>
      <c r="C44" s="223">
        <v>0.63</v>
      </c>
    </row>
    <row r="46" ht="12.75">
      <c r="B46" s="213" t="s">
        <v>515</v>
      </c>
    </row>
    <row r="47" spans="2:3" ht="12.75">
      <c r="B47" s="219" t="s">
        <v>514</v>
      </c>
      <c r="C47" s="219" t="s">
        <v>439</v>
      </c>
    </row>
    <row r="48" spans="2:3" ht="12.75">
      <c r="B48" s="247" t="s">
        <v>425</v>
      </c>
      <c r="C48" s="248">
        <f>AVERAGE(0.567,0.5,0.535)</f>
        <v>0.5339999999999999</v>
      </c>
    </row>
    <row r="49" spans="2:3" ht="12.75">
      <c r="B49" s="247" t="s">
        <v>427</v>
      </c>
      <c r="C49" s="248">
        <f>AVERAGE(0.567,0.5,0.535)</f>
        <v>0.5339999999999999</v>
      </c>
    </row>
    <row r="50" spans="2:3" ht="12.75">
      <c r="B50" s="247" t="s">
        <v>429</v>
      </c>
      <c r="C50" s="249">
        <f>AVERAGE(0.542,0.505)</f>
        <v>0.5235000000000001</v>
      </c>
    </row>
    <row r="52" ht="12.75">
      <c r="A52" s="212" t="s">
        <v>475</v>
      </c>
    </row>
    <row r="53" spans="1:2" ht="12.75">
      <c r="A53" s="237">
        <v>1</v>
      </c>
      <c r="B53" s="213" t="s">
        <v>516</v>
      </c>
    </row>
    <row r="54" spans="1:2" ht="12.75">
      <c r="A54" s="213">
        <v>2</v>
      </c>
      <c r="B54" s="213" t="s">
        <v>517</v>
      </c>
    </row>
    <row r="55" spans="1:2" ht="12.75">
      <c r="A55" s="213">
        <v>3</v>
      </c>
      <c r="B55" s="213" t="s">
        <v>518</v>
      </c>
    </row>
    <row r="56" spans="1:2" ht="12.75">
      <c r="A56" s="213">
        <v>4</v>
      </c>
      <c r="B56" s="216" t="s">
        <v>478</v>
      </c>
    </row>
    <row r="57" spans="1:2" ht="12.75">
      <c r="A57" s="213">
        <v>5</v>
      </c>
      <c r="B57" s="216" t="s">
        <v>519</v>
      </c>
    </row>
    <row r="58" spans="1:2" ht="12.75">
      <c r="A58" s="213">
        <v>6</v>
      </c>
      <c r="B58" s="216" t="s">
        <v>520</v>
      </c>
    </row>
  </sheetData>
  <sheetProtection/>
  <printOptions/>
  <pageMargins left="0.75" right="0.75" top="1" bottom="1" header="0.5" footer="0.5"/>
  <pageSetup horizontalDpi="600" verticalDpi="600" orientation="portrait" scale="51" r:id="rId1"/>
</worksheet>
</file>

<file path=xl/worksheets/sheet15.xml><?xml version="1.0" encoding="utf-8"?>
<worksheet xmlns="http://schemas.openxmlformats.org/spreadsheetml/2006/main" xmlns:r="http://schemas.openxmlformats.org/officeDocument/2006/relationships">
  <dimension ref="A1:E55"/>
  <sheetViews>
    <sheetView zoomScale="75" zoomScaleNormal="75" zoomScalePageLayoutView="0" workbookViewId="0" topLeftCell="A1">
      <selection activeCell="M50" sqref="M50"/>
    </sheetView>
  </sheetViews>
  <sheetFormatPr defaultColWidth="9.140625" defaultRowHeight="12.75"/>
  <cols>
    <col min="1" max="1" width="9.140625" style="213" customWidth="1"/>
    <col min="2" max="2" width="38.140625" style="213" customWidth="1"/>
    <col min="3" max="3" width="27.421875" style="213" customWidth="1"/>
    <col min="4" max="4" width="20.7109375" style="213" bestFit="1" customWidth="1"/>
    <col min="5" max="5" width="18.421875" style="213" customWidth="1"/>
    <col min="6" max="16384" width="9.140625" style="213" customWidth="1"/>
  </cols>
  <sheetData>
    <row r="1" ht="12.75">
      <c r="A1" s="212" t="s">
        <v>440</v>
      </c>
    </row>
    <row r="2" ht="12.75">
      <c r="B2" s="213" t="s">
        <v>521</v>
      </c>
    </row>
    <row r="4" ht="12.75">
      <c r="A4" s="212" t="s">
        <v>442</v>
      </c>
    </row>
    <row r="5" spans="2:3" ht="12.75">
      <c r="B5" s="213" t="s">
        <v>443</v>
      </c>
      <c r="C5" s="214" t="s">
        <v>522</v>
      </c>
    </row>
    <row r="7" spans="2:3" ht="12.75">
      <c r="B7" s="213" t="s">
        <v>445</v>
      </c>
      <c r="C7" s="668" t="s">
        <v>714</v>
      </c>
    </row>
    <row r="8" ht="12.75">
      <c r="C8" s="214"/>
    </row>
    <row r="9" ht="12.75">
      <c r="C9" s="214"/>
    </row>
    <row r="10" ht="12.75">
      <c r="B10" s="217" t="s">
        <v>447</v>
      </c>
    </row>
    <row r="11" spans="2:3" ht="12.75">
      <c r="B11" s="217" t="s">
        <v>501</v>
      </c>
      <c r="C11" s="214" t="s">
        <v>523</v>
      </c>
    </row>
    <row r="12" spans="2:3" ht="12.75">
      <c r="B12" s="217" t="s">
        <v>524</v>
      </c>
      <c r="C12" s="214" t="s">
        <v>525</v>
      </c>
    </row>
    <row r="13" spans="2:3" ht="12.75">
      <c r="B13" s="217" t="s">
        <v>505</v>
      </c>
      <c r="C13" s="214" t="s">
        <v>526</v>
      </c>
    </row>
    <row r="14" spans="2:3" ht="12.75">
      <c r="B14" s="217" t="s">
        <v>454</v>
      </c>
      <c r="C14" s="214" t="s">
        <v>455</v>
      </c>
    </row>
    <row r="15" spans="2:3" ht="12.75">
      <c r="B15" s="217" t="s">
        <v>458</v>
      </c>
      <c r="C15" s="215" t="s">
        <v>507</v>
      </c>
    </row>
    <row r="16" spans="2:3" ht="12.75">
      <c r="B16" s="217"/>
      <c r="C16" s="214"/>
    </row>
    <row r="17" ht="12.75">
      <c r="B17" s="217"/>
    </row>
    <row r="18" ht="12.75">
      <c r="B18" s="217" t="s">
        <v>508</v>
      </c>
    </row>
    <row r="19" spans="2:5" ht="12.75">
      <c r="B19" s="219" t="s">
        <v>310</v>
      </c>
      <c r="C19" s="219" t="s">
        <v>391</v>
      </c>
      <c r="D19" s="219" t="s">
        <v>399</v>
      </c>
      <c r="E19" s="219" t="s">
        <v>461</v>
      </c>
    </row>
    <row r="20" spans="2:5" ht="12.75">
      <c r="B20" s="220" t="s">
        <v>462</v>
      </c>
      <c r="C20" s="221">
        <v>559.9383250819637</v>
      </c>
      <c r="D20" s="222">
        <v>605.2239702887576</v>
      </c>
      <c r="E20" s="222">
        <v>632.0371475006098</v>
      </c>
    </row>
    <row r="21" spans="2:5" ht="12.75">
      <c r="B21" s="223" t="s">
        <v>388</v>
      </c>
      <c r="C21" s="222">
        <v>352.22523464423926</v>
      </c>
      <c r="D21" s="222">
        <v>372.19285676539994</v>
      </c>
      <c r="E21" s="222">
        <v>383.8099713085301</v>
      </c>
    </row>
    <row r="22" spans="2:5" ht="12.75">
      <c r="B22" s="223" t="s">
        <v>402</v>
      </c>
      <c r="C22" s="222">
        <v>757.5152407214097</v>
      </c>
      <c r="D22" s="222">
        <v>801.8492718032786</v>
      </c>
      <c r="E22" s="222">
        <v>827.6774454927063</v>
      </c>
    </row>
    <row r="23" spans="2:5" ht="12.75">
      <c r="B23" s="223" t="s">
        <v>463</v>
      </c>
      <c r="C23" s="222">
        <v>642.9996476224662</v>
      </c>
      <c r="D23" s="222">
        <v>713.7162113009424</v>
      </c>
      <c r="E23" s="222">
        <v>756.4561434768084</v>
      </c>
    </row>
    <row r="24" spans="2:5" ht="12.75">
      <c r="B24" s="223" t="s">
        <v>464</v>
      </c>
      <c r="C24" s="222">
        <v>1247.5751159808522</v>
      </c>
      <c r="D24" s="222">
        <v>1348.3841470851744</v>
      </c>
      <c r="E24" s="222">
        <v>1408.0690803700502</v>
      </c>
    </row>
    <row r="25" spans="2:5" ht="12.75">
      <c r="B25" s="223" t="s">
        <v>465</v>
      </c>
      <c r="C25" s="222">
        <v>1047.174938765738</v>
      </c>
      <c r="D25" s="222">
        <v>1138.3072563037574</v>
      </c>
      <c r="E25" s="222">
        <v>1192.5033139814775</v>
      </c>
    </row>
    <row r="26" spans="2:5" ht="12.75">
      <c r="B26" s="223" t="s">
        <v>395</v>
      </c>
      <c r="C26" s="222">
        <v>850.9805442126205</v>
      </c>
      <c r="D26" s="222">
        <v>883.5726128660209</v>
      </c>
      <c r="E26" s="222">
        <v>902.2779969091371</v>
      </c>
    </row>
    <row r="27" spans="2:5" ht="12.75">
      <c r="B27" s="223" t="s">
        <v>396</v>
      </c>
      <c r="C27" s="222">
        <v>752.9912576111836</v>
      </c>
      <c r="D27" s="222">
        <v>824.2792750823033</v>
      </c>
      <c r="E27" s="222">
        <v>866.9045419749287</v>
      </c>
    </row>
    <row r="29" spans="1:5" ht="12.75">
      <c r="A29" s="212" t="s">
        <v>466</v>
      </c>
      <c r="B29" s="224"/>
      <c r="C29" s="225"/>
      <c r="D29" s="225"/>
      <c r="E29" s="225"/>
    </row>
    <row r="30" spans="2:5" ht="12.75">
      <c r="B30" s="226" t="s">
        <v>527</v>
      </c>
      <c r="C30" s="227"/>
      <c r="D30" s="225"/>
      <c r="E30" s="225"/>
    </row>
    <row r="31" spans="2:5" ht="12.75">
      <c r="B31" s="219" t="s">
        <v>468</v>
      </c>
      <c r="C31" s="228" t="s">
        <v>511</v>
      </c>
      <c r="D31" s="225"/>
      <c r="E31" s="225"/>
    </row>
    <row r="32" spans="2:5" ht="12.75">
      <c r="B32" s="223" t="str">
        <f>B46</f>
        <v>High Eff Air-Cooled Chiller &lt; 150 tons</v>
      </c>
      <c r="C32" s="243">
        <v>39.935</v>
      </c>
      <c r="D32" s="225"/>
      <c r="E32" s="225"/>
    </row>
    <row r="33" spans="2:5" ht="12.75">
      <c r="B33" s="223" t="str">
        <f>B47</f>
        <v>High Eff Air-Cooled Chiller &gt; 150 tons</v>
      </c>
      <c r="C33" s="243">
        <v>39.935</v>
      </c>
      <c r="D33" s="225"/>
      <c r="E33" s="225"/>
    </row>
    <row r="34" spans="2:5" ht="12.75">
      <c r="B34" s="224"/>
      <c r="C34" s="250"/>
      <c r="D34" s="225"/>
      <c r="E34" s="225"/>
    </row>
    <row r="35" spans="1:5" ht="12.75">
      <c r="A35" s="212" t="s">
        <v>469</v>
      </c>
      <c r="B35" s="224"/>
      <c r="C35" s="250"/>
      <c r="D35" s="225"/>
      <c r="E35" s="225"/>
    </row>
    <row r="36" spans="2:5" ht="12.75">
      <c r="B36" s="226" t="s">
        <v>528</v>
      </c>
      <c r="C36" s="250"/>
      <c r="D36" s="225"/>
      <c r="E36" s="225"/>
    </row>
    <row r="37" s="226" customFormat="1" ht="12.75">
      <c r="C37" s="227"/>
    </row>
    <row r="38" ht="12.75">
      <c r="A38" s="212" t="s">
        <v>471</v>
      </c>
    </row>
    <row r="39" spans="2:3" ht="12.75">
      <c r="B39" s="226" t="s">
        <v>529</v>
      </c>
      <c r="C39" s="226"/>
    </row>
    <row r="40" spans="2:3" ht="12.75">
      <c r="B40" s="219" t="s">
        <v>514</v>
      </c>
      <c r="C40" s="219" t="s">
        <v>438</v>
      </c>
    </row>
    <row r="41" spans="2:3" ht="12.75">
      <c r="B41" s="223" t="s">
        <v>437</v>
      </c>
      <c r="C41" s="251">
        <v>1.3</v>
      </c>
    </row>
    <row r="42" spans="2:3" ht="12.75">
      <c r="B42" s="223" t="s">
        <v>530</v>
      </c>
      <c r="C42" s="251">
        <v>1.41</v>
      </c>
    </row>
    <row r="44" ht="12.75">
      <c r="B44" s="213" t="s">
        <v>531</v>
      </c>
    </row>
    <row r="45" spans="2:3" ht="12.75">
      <c r="B45" s="219" t="s">
        <v>514</v>
      </c>
      <c r="C45" s="219" t="s">
        <v>439</v>
      </c>
    </row>
    <row r="46" spans="2:3" ht="12.75">
      <c r="B46" s="223" t="s">
        <v>436</v>
      </c>
      <c r="C46" s="220">
        <v>1.15</v>
      </c>
    </row>
    <row r="47" spans="2:3" ht="12.75">
      <c r="B47" s="223" t="s">
        <v>532</v>
      </c>
      <c r="C47" s="220">
        <v>1.15</v>
      </c>
    </row>
    <row r="49" ht="12.75">
      <c r="A49" s="212" t="s">
        <v>475</v>
      </c>
    </row>
    <row r="50" spans="1:2" ht="12.75">
      <c r="A50" s="213">
        <v>1</v>
      </c>
      <c r="B50" s="216" t="s">
        <v>533</v>
      </c>
    </row>
    <row r="51" spans="1:2" ht="12.75">
      <c r="A51" s="213">
        <v>2</v>
      </c>
      <c r="B51" s="213" t="s">
        <v>517</v>
      </c>
    </row>
    <row r="52" spans="1:2" ht="12.75">
      <c r="A52" s="213">
        <v>3</v>
      </c>
      <c r="B52" s="213" t="s">
        <v>518</v>
      </c>
    </row>
    <row r="53" spans="1:2" ht="12.75">
      <c r="A53" s="213">
        <v>4</v>
      </c>
      <c r="B53" s="216" t="s">
        <v>478</v>
      </c>
    </row>
    <row r="54" spans="1:2" ht="12.75">
      <c r="A54" s="213">
        <v>5</v>
      </c>
      <c r="B54" s="216" t="s">
        <v>519</v>
      </c>
    </row>
    <row r="55" spans="1:2" ht="12.75">
      <c r="A55" s="213">
        <v>6</v>
      </c>
      <c r="B55" s="213" t="s">
        <v>516</v>
      </c>
    </row>
  </sheetData>
  <sheetProtection/>
  <printOptions/>
  <pageMargins left="0.75" right="0.75" top="1" bottom="1" header="0.5" footer="0.5"/>
  <pageSetup horizontalDpi="600" verticalDpi="600" orientation="portrait" scale="51" r:id="rId1"/>
</worksheet>
</file>

<file path=xl/worksheets/sheet16.xml><?xml version="1.0" encoding="utf-8"?>
<worksheet xmlns="http://schemas.openxmlformats.org/spreadsheetml/2006/main" xmlns:r="http://schemas.openxmlformats.org/officeDocument/2006/relationships">
  <dimension ref="A2:BZ42"/>
  <sheetViews>
    <sheetView zoomScalePageLayoutView="0" workbookViewId="0" topLeftCell="A1">
      <pane ySplit="4695" topLeftCell="A4" activePane="bottomLeft" state="split"/>
      <selection pane="topLeft" activeCell="F5" sqref="F5"/>
      <selection pane="bottomLeft" activeCell="F20" sqref="F20"/>
    </sheetView>
  </sheetViews>
  <sheetFormatPr defaultColWidth="9.140625" defaultRowHeight="12.75"/>
  <cols>
    <col min="5" max="5" width="46.28125" style="0" customWidth="1"/>
    <col min="6" max="6" width="56.421875" style="0" customWidth="1"/>
    <col min="7" max="7" width="7.140625" style="0" customWidth="1"/>
    <col min="8" max="8" width="25.57421875" style="0" customWidth="1"/>
  </cols>
  <sheetData>
    <row r="2" spans="1:78" s="106" customFormat="1" ht="84.75" thickBot="1">
      <c r="A2" s="106" t="s">
        <v>51</v>
      </c>
      <c r="B2" s="96" t="s">
        <v>251</v>
      </c>
      <c r="C2" s="96" t="s">
        <v>252</v>
      </c>
      <c r="D2" s="96" t="s">
        <v>253</v>
      </c>
      <c r="E2" s="97" t="s">
        <v>254</v>
      </c>
      <c r="F2" s="98"/>
      <c r="G2" s="96" t="s">
        <v>255</v>
      </c>
      <c r="H2" s="99" t="s">
        <v>256</v>
      </c>
      <c r="I2" s="100" t="s">
        <v>257</v>
      </c>
      <c r="J2" s="96"/>
      <c r="K2" s="96" t="s">
        <v>258</v>
      </c>
      <c r="L2" s="99" t="s">
        <v>259</v>
      </c>
      <c r="M2" s="100" t="s">
        <v>260</v>
      </c>
      <c r="N2" s="101"/>
      <c r="O2" s="96" t="s">
        <v>261</v>
      </c>
      <c r="P2" s="99" t="s">
        <v>262</v>
      </c>
      <c r="Q2" s="101"/>
      <c r="R2" s="99" t="s">
        <v>263</v>
      </c>
      <c r="S2" s="96" t="s">
        <v>264</v>
      </c>
      <c r="T2" s="96" t="s">
        <v>265</v>
      </c>
      <c r="U2" s="99" t="s">
        <v>266</v>
      </c>
      <c r="V2" s="96" t="s">
        <v>267</v>
      </c>
      <c r="W2" s="101"/>
      <c r="X2" s="101"/>
      <c r="Y2" s="102"/>
      <c r="Z2" s="101"/>
      <c r="AA2" s="102"/>
      <c r="AB2" s="102"/>
      <c r="AC2" s="103"/>
      <c r="AD2" s="96" t="s">
        <v>268</v>
      </c>
      <c r="AE2" s="96" t="s">
        <v>269</v>
      </c>
      <c r="AF2" s="96" t="s">
        <v>270</v>
      </c>
      <c r="AG2" s="96" t="s">
        <v>271</v>
      </c>
      <c r="AH2" s="96" t="s">
        <v>272</v>
      </c>
      <c r="AI2" s="96" t="s">
        <v>273</v>
      </c>
      <c r="AJ2" s="96" t="s">
        <v>274</v>
      </c>
      <c r="AK2" s="96" t="s">
        <v>275</v>
      </c>
      <c r="AL2" s="96" t="s">
        <v>276</v>
      </c>
      <c r="AM2" s="96" t="s">
        <v>277</v>
      </c>
      <c r="AN2" s="96" t="s">
        <v>278</v>
      </c>
      <c r="AO2" s="96" t="s">
        <v>279</v>
      </c>
      <c r="AP2" s="96" t="s">
        <v>280</v>
      </c>
      <c r="AQ2" s="101"/>
      <c r="AR2" s="101"/>
      <c r="AS2" s="104" t="s">
        <v>281</v>
      </c>
      <c r="AT2" s="104" t="s">
        <v>282</v>
      </c>
      <c r="AU2" s="104" t="s">
        <v>283</v>
      </c>
      <c r="AV2" s="105"/>
      <c r="AW2" s="106" t="s">
        <v>284</v>
      </c>
      <c r="AX2" s="96" t="s">
        <v>285</v>
      </c>
      <c r="AY2" s="96" t="s">
        <v>286</v>
      </c>
      <c r="AZ2" s="96" t="s">
        <v>287</v>
      </c>
      <c r="BA2" s="96" t="s">
        <v>288</v>
      </c>
      <c r="BB2" s="96" t="s">
        <v>289</v>
      </c>
      <c r="BC2" s="96" t="s">
        <v>290</v>
      </c>
      <c r="BD2" s="96" t="s">
        <v>291</v>
      </c>
      <c r="BE2" s="96" t="s">
        <v>292</v>
      </c>
      <c r="BF2" s="96" t="s">
        <v>293</v>
      </c>
      <c r="BG2" s="96" t="s">
        <v>294</v>
      </c>
      <c r="BH2" s="107" t="s">
        <v>295</v>
      </c>
      <c r="BI2" s="96" t="s">
        <v>296</v>
      </c>
      <c r="BJ2" s="96" t="s">
        <v>297</v>
      </c>
      <c r="BK2" s="108"/>
      <c r="BL2" s="109"/>
      <c r="BM2" s="108"/>
      <c r="BN2" s="109"/>
      <c r="BO2" s="109"/>
      <c r="BP2" s="109"/>
      <c r="BQ2" s="109"/>
      <c r="BR2" s="109"/>
      <c r="BS2" s="109"/>
      <c r="BT2" s="109"/>
      <c r="BU2" s="109"/>
      <c r="BV2" s="109"/>
      <c r="BW2" s="109"/>
      <c r="BX2" s="109"/>
      <c r="BY2" s="109"/>
      <c r="BZ2" s="109"/>
    </row>
    <row r="3" spans="2:62" s="110" customFormat="1" ht="12" customHeight="1" thickBot="1">
      <c r="B3" s="927" t="s">
        <v>298</v>
      </c>
      <c r="C3" s="928"/>
      <c r="D3" s="932"/>
      <c r="E3" s="928"/>
      <c r="F3" s="928"/>
      <c r="G3" s="928"/>
      <c r="H3" s="928"/>
      <c r="I3" s="928"/>
      <c r="J3" s="928"/>
      <c r="K3" s="928"/>
      <c r="L3" s="928"/>
      <c r="M3" s="928"/>
      <c r="N3" s="928"/>
      <c r="O3" s="928"/>
      <c r="P3" s="928"/>
      <c r="Q3" s="928"/>
      <c r="R3" s="928"/>
      <c r="S3" s="928"/>
      <c r="T3" s="928"/>
      <c r="U3" s="928"/>
      <c r="V3" s="928"/>
      <c r="W3" s="928"/>
      <c r="X3" s="928"/>
      <c r="Y3" s="928"/>
      <c r="Z3" s="928"/>
      <c r="AA3" s="928"/>
      <c r="AB3" s="928"/>
      <c r="AC3" s="928"/>
      <c r="AD3" s="928"/>
      <c r="AE3" s="928"/>
      <c r="AF3" s="928"/>
      <c r="AG3" s="928"/>
      <c r="AH3" s="928"/>
      <c r="AI3" s="928"/>
      <c r="AJ3" s="928"/>
      <c r="AK3" s="928"/>
      <c r="AL3" s="928"/>
      <c r="AM3" s="928"/>
      <c r="AN3" s="928"/>
      <c r="AO3" s="928"/>
      <c r="AP3" s="929"/>
      <c r="AQ3" s="933" t="s">
        <v>299</v>
      </c>
      <c r="AR3" s="934"/>
      <c r="AS3" s="933" t="s">
        <v>300</v>
      </c>
      <c r="AT3" s="934"/>
      <c r="AU3" s="935"/>
      <c r="AV3" s="933" t="s">
        <v>301</v>
      </c>
      <c r="AW3" s="934"/>
      <c r="AX3" s="934"/>
      <c r="AY3" s="934"/>
      <c r="AZ3" s="934"/>
      <c r="BA3" s="935"/>
      <c r="BB3" s="927" t="s">
        <v>302</v>
      </c>
      <c r="BC3" s="928"/>
      <c r="BD3" s="928"/>
      <c r="BE3" s="928"/>
      <c r="BF3" s="928"/>
      <c r="BG3" s="928"/>
      <c r="BH3" s="929"/>
      <c r="BI3" s="930" t="s">
        <v>303</v>
      </c>
      <c r="BJ3" s="931"/>
    </row>
    <row r="4" spans="2:62" s="32" customFormat="1" ht="135.75" thickBot="1">
      <c r="B4" s="111" t="s">
        <v>304</v>
      </c>
      <c r="C4" s="112" t="s">
        <v>305</v>
      </c>
      <c r="D4" s="113" t="s">
        <v>306</v>
      </c>
      <c r="E4" s="114" t="s">
        <v>307</v>
      </c>
      <c r="F4" s="115" t="s">
        <v>308</v>
      </c>
      <c r="G4" s="116" t="s">
        <v>309</v>
      </c>
      <c r="H4" s="114" t="s">
        <v>310</v>
      </c>
      <c r="I4" s="116" t="s">
        <v>311</v>
      </c>
      <c r="J4" s="116" t="s">
        <v>312</v>
      </c>
      <c r="K4" s="116" t="s">
        <v>313</v>
      </c>
      <c r="L4" s="114" t="s">
        <v>259</v>
      </c>
      <c r="M4" s="117" t="s">
        <v>260</v>
      </c>
      <c r="N4" s="115" t="s">
        <v>314</v>
      </c>
      <c r="O4" s="116" t="s">
        <v>315</v>
      </c>
      <c r="P4" s="114" t="s">
        <v>262</v>
      </c>
      <c r="Q4" s="115" t="s">
        <v>316</v>
      </c>
      <c r="R4" s="114" t="s">
        <v>263</v>
      </c>
      <c r="S4" s="116" t="s">
        <v>264</v>
      </c>
      <c r="T4" s="116" t="s">
        <v>265</v>
      </c>
      <c r="U4" s="114" t="s">
        <v>266</v>
      </c>
      <c r="V4" s="116" t="s">
        <v>267</v>
      </c>
      <c r="W4" s="115" t="s">
        <v>317</v>
      </c>
      <c r="X4" s="115" t="s">
        <v>318</v>
      </c>
      <c r="Y4" s="118" t="s">
        <v>319</v>
      </c>
      <c r="Z4" s="115" t="s">
        <v>320</v>
      </c>
      <c r="AA4" s="118" t="s">
        <v>321</v>
      </c>
      <c r="AB4" s="118" t="s">
        <v>322</v>
      </c>
      <c r="AC4" s="119" t="s">
        <v>323</v>
      </c>
      <c r="AD4" s="116" t="s">
        <v>268</v>
      </c>
      <c r="AE4" s="116" t="s">
        <v>269</v>
      </c>
      <c r="AF4" s="116" t="s">
        <v>270</v>
      </c>
      <c r="AG4" s="116" t="s">
        <v>271</v>
      </c>
      <c r="AH4" s="116" t="s">
        <v>272</v>
      </c>
      <c r="AI4" s="116" t="s">
        <v>273</v>
      </c>
      <c r="AJ4" s="116" t="s">
        <v>274</v>
      </c>
      <c r="AK4" s="116" t="s">
        <v>275</v>
      </c>
      <c r="AL4" s="116" t="s">
        <v>276</v>
      </c>
      <c r="AM4" s="116" t="s">
        <v>277</v>
      </c>
      <c r="AN4" s="116" t="s">
        <v>278</v>
      </c>
      <c r="AO4" s="116" t="s">
        <v>279</v>
      </c>
      <c r="AP4" s="116" t="s">
        <v>280</v>
      </c>
      <c r="AQ4" s="115" t="s">
        <v>324</v>
      </c>
      <c r="AR4" s="115" t="s">
        <v>325</v>
      </c>
      <c r="AS4" s="111" t="s">
        <v>281</v>
      </c>
      <c r="AT4" s="111" t="s">
        <v>282</v>
      </c>
      <c r="AU4" s="116" t="s">
        <v>326</v>
      </c>
      <c r="AV4" s="120" t="s">
        <v>327</v>
      </c>
      <c r="AW4" s="116" t="s">
        <v>328</v>
      </c>
      <c r="AX4" s="116" t="s">
        <v>285</v>
      </c>
      <c r="AY4" s="116" t="s">
        <v>286</v>
      </c>
      <c r="AZ4" s="116" t="s">
        <v>287</v>
      </c>
      <c r="BA4" s="116" t="s">
        <v>288</v>
      </c>
      <c r="BB4" s="116" t="s">
        <v>289</v>
      </c>
      <c r="BC4" s="116" t="s">
        <v>290</v>
      </c>
      <c r="BD4" s="116" t="s">
        <v>291</v>
      </c>
      <c r="BE4" s="121" t="s">
        <v>280</v>
      </c>
      <c r="BF4" s="122" t="s">
        <v>293</v>
      </c>
      <c r="BG4" s="122" t="s">
        <v>294</v>
      </c>
      <c r="BH4" s="122" t="s">
        <v>295</v>
      </c>
      <c r="BI4" s="122" t="s">
        <v>329</v>
      </c>
      <c r="BJ4" s="123" t="s">
        <v>330</v>
      </c>
    </row>
    <row r="5" spans="1:48" ht="12.75">
      <c r="A5" t="s">
        <v>56</v>
      </c>
      <c r="B5" t="s">
        <v>385</v>
      </c>
      <c r="C5" t="s">
        <v>386</v>
      </c>
      <c r="D5" t="s">
        <v>387</v>
      </c>
      <c r="E5" s="163" t="s">
        <v>397</v>
      </c>
      <c r="F5" s="164" t="s">
        <v>398</v>
      </c>
      <c r="H5" s="163" t="s">
        <v>388</v>
      </c>
      <c r="I5" s="2"/>
      <c r="J5" s="165">
        <v>48</v>
      </c>
      <c r="L5" s="163" t="s">
        <v>389</v>
      </c>
      <c r="M5" s="2"/>
      <c r="N5" s="164" t="s">
        <v>390</v>
      </c>
      <c r="P5" s="163" t="s">
        <v>391</v>
      </c>
      <c r="Q5" s="166">
        <v>352.22523464423926</v>
      </c>
      <c r="R5" s="167">
        <v>703.424</v>
      </c>
      <c r="U5" s="163">
        <v>15</v>
      </c>
      <c r="W5" s="164" t="s">
        <v>392</v>
      </c>
      <c r="X5" s="166">
        <f>$Q5*Y5</f>
        <v>1290.5962796124797</v>
      </c>
      <c r="Y5" s="168">
        <v>3.66412213740458</v>
      </c>
      <c r="Z5" s="166">
        <f>$Q5*AA5</f>
        <v>1742.970233291081</v>
      </c>
      <c r="AA5" s="168">
        <v>4.948453608247423</v>
      </c>
      <c r="AB5" s="169">
        <f>Z5-X5</f>
        <v>452.3739536786013</v>
      </c>
      <c r="AC5" s="168">
        <f>(AA5-Y5)*0.9</f>
        <v>1.1558983237585585</v>
      </c>
      <c r="AQ5" s="164" t="s">
        <v>393</v>
      </c>
      <c r="AR5" s="164" t="s">
        <v>393</v>
      </c>
      <c r="AV5" s="170" t="s">
        <v>394</v>
      </c>
    </row>
    <row r="6" spans="1:48" ht="12.75">
      <c r="A6" t="s">
        <v>56</v>
      </c>
      <c r="B6" t="s">
        <v>385</v>
      </c>
      <c r="C6" t="s">
        <v>386</v>
      </c>
      <c r="D6" t="s">
        <v>387</v>
      </c>
      <c r="E6" s="163" t="s">
        <v>397</v>
      </c>
      <c r="F6" s="164" t="s">
        <v>398</v>
      </c>
      <c r="H6" s="163" t="s">
        <v>395</v>
      </c>
      <c r="I6" s="2"/>
      <c r="J6" s="165">
        <v>48</v>
      </c>
      <c r="L6" s="163" t="s">
        <v>389</v>
      </c>
      <c r="M6" s="2"/>
      <c r="N6" s="164" t="s">
        <v>390</v>
      </c>
      <c r="P6" s="163" t="s">
        <v>391</v>
      </c>
      <c r="Q6" s="166">
        <v>850.9805442126205</v>
      </c>
      <c r="R6" s="167">
        <v>703.424</v>
      </c>
      <c r="U6" s="163">
        <v>15</v>
      </c>
      <c r="W6" s="164" t="s">
        <v>392</v>
      </c>
      <c r="X6" s="166">
        <f>$Q6*Y6</f>
        <v>3118.09665055006</v>
      </c>
      <c r="Y6" s="168">
        <v>3.66412213740458</v>
      </c>
      <c r="Z6" s="166">
        <f>$Q6*AA6</f>
        <v>4211.037744557298</v>
      </c>
      <c r="AA6" s="168">
        <v>4.948453608247423</v>
      </c>
      <c r="AB6" s="169">
        <f>Z6-X6</f>
        <v>1092.9410940072376</v>
      </c>
      <c r="AC6" s="168">
        <f>(AA6-Y6)*0.9</f>
        <v>1.1558983237585585</v>
      </c>
      <c r="AQ6" s="164" t="s">
        <v>393</v>
      </c>
      <c r="AR6" s="164" t="s">
        <v>393</v>
      </c>
      <c r="AV6" s="170" t="s">
        <v>394</v>
      </c>
    </row>
    <row r="7" spans="1:48" ht="12.75">
      <c r="A7" t="s">
        <v>56</v>
      </c>
      <c r="B7" t="s">
        <v>385</v>
      </c>
      <c r="C7" t="s">
        <v>386</v>
      </c>
      <c r="D7" t="s">
        <v>387</v>
      </c>
      <c r="E7" s="163" t="s">
        <v>397</v>
      </c>
      <c r="F7" s="164" t="s">
        <v>398</v>
      </c>
      <c r="H7" s="163" t="s">
        <v>396</v>
      </c>
      <c r="I7" s="2"/>
      <c r="J7" s="165">
        <v>48</v>
      </c>
      <c r="L7" s="163" t="s">
        <v>389</v>
      </c>
      <c r="M7" s="2"/>
      <c r="N7" s="164" t="s">
        <v>390</v>
      </c>
      <c r="P7" s="163" t="s">
        <v>391</v>
      </c>
      <c r="Q7" s="166">
        <v>752.9912576111836</v>
      </c>
      <c r="R7" s="167">
        <v>703.424</v>
      </c>
      <c r="U7" s="163">
        <v>15</v>
      </c>
      <c r="W7" s="164" t="s">
        <v>392</v>
      </c>
      <c r="X7" s="166">
        <f>$Q7*Y7</f>
        <v>2759.051936285253</v>
      </c>
      <c r="Y7" s="168">
        <v>3.66412213740458</v>
      </c>
      <c r="Z7" s="166">
        <f>$Q7*AA7</f>
        <v>3726.1423057048264</v>
      </c>
      <c r="AA7" s="168">
        <v>4.948453608247423</v>
      </c>
      <c r="AB7" s="169">
        <f>Z7-X7</f>
        <v>967.0903694195736</v>
      </c>
      <c r="AC7" s="168">
        <f>(AA7-Y7)*0.9</f>
        <v>1.1558983237585585</v>
      </c>
      <c r="AQ7" s="164" t="s">
        <v>393</v>
      </c>
      <c r="AR7" s="164" t="s">
        <v>393</v>
      </c>
      <c r="AV7" s="170" t="s">
        <v>394</v>
      </c>
    </row>
    <row r="8" spans="1:48" ht="12.75">
      <c r="A8" t="s">
        <v>57</v>
      </c>
      <c r="B8" t="s">
        <v>385</v>
      </c>
      <c r="C8" t="s">
        <v>386</v>
      </c>
      <c r="D8" t="s">
        <v>387</v>
      </c>
      <c r="E8" s="163" t="s">
        <v>400</v>
      </c>
      <c r="F8" s="164" t="s">
        <v>401</v>
      </c>
      <c r="H8" s="163" t="s">
        <v>388</v>
      </c>
      <c r="I8" s="2"/>
      <c r="J8" s="165">
        <v>100</v>
      </c>
      <c r="L8" s="163" t="s">
        <v>389</v>
      </c>
      <c r="M8" s="2"/>
      <c r="N8" s="164" t="s">
        <v>390</v>
      </c>
      <c r="P8" s="163" t="s">
        <v>391</v>
      </c>
      <c r="Q8" s="166">
        <v>352.22523464423926</v>
      </c>
      <c r="R8" s="167">
        <v>1245.8458799999996</v>
      </c>
      <c r="U8" s="163">
        <v>15</v>
      </c>
      <c r="W8" s="164" t="s">
        <v>392</v>
      </c>
      <c r="X8" s="166">
        <f>$Q8*Y8</f>
        <v>3036.4244365882696</v>
      </c>
      <c r="Y8" s="168">
        <v>8.620689655172415</v>
      </c>
      <c r="Z8" s="166">
        <f>$Q8*AA8</f>
        <v>3957.5869061150474</v>
      </c>
      <c r="AA8" s="168">
        <v>11.235955056179774</v>
      </c>
      <c r="AB8" s="169">
        <f>Z8-X8</f>
        <v>921.1624695267778</v>
      </c>
      <c r="AC8" s="168">
        <f>(AA8-Y8)*0.9</f>
        <v>2.3537388609066237</v>
      </c>
      <c r="AQ8" s="164" t="s">
        <v>393</v>
      </c>
      <c r="AR8" s="164" t="s">
        <v>393</v>
      </c>
      <c r="AV8" s="170" t="s">
        <v>394</v>
      </c>
    </row>
    <row r="9" spans="1:48" ht="12.75">
      <c r="A9" t="s">
        <v>57</v>
      </c>
      <c r="B9" t="s">
        <v>385</v>
      </c>
      <c r="C9" t="s">
        <v>386</v>
      </c>
      <c r="D9" t="s">
        <v>387</v>
      </c>
      <c r="E9" s="163" t="s">
        <v>400</v>
      </c>
      <c r="F9" s="164" t="s">
        <v>401</v>
      </c>
      <c r="H9" s="163" t="s">
        <v>395</v>
      </c>
      <c r="I9" s="2"/>
      <c r="J9" s="165">
        <v>100</v>
      </c>
      <c r="L9" s="163" t="s">
        <v>389</v>
      </c>
      <c r="M9" s="2"/>
      <c r="N9" s="164" t="s">
        <v>390</v>
      </c>
      <c r="P9" s="163" t="s">
        <v>391</v>
      </c>
      <c r="Q9" s="166">
        <v>850.9805442126205</v>
      </c>
      <c r="R9" s="167">
        <v>1245.8458799999996</v>
      </c>
      <c r="U9" s="163">
        <v>15</v>
      </c>
      <c r="W9" s="164" t="s">
        <v>392</v>
      </c>
      <c r="X9" s="166">
        <v>7336.039174246729</v>
      </c>
      <c r="Y9" s="168">
        <v>8.620689655172415</v>
      </c>
      <c r="Z9" s="166">
        <v>9561.57914845641</v>
      </c>
      <c r="AA9" s="168">
        <v>11.235955056179774</v>
      </c>
      <c r="AB9" s="169">
        <v>2225.5399742096815</v>
      </c>
      <c r="AC9" s="168">
        <v>2.3537388609066237</v>
      </c>
      <c r="AQ9" s="164" t="s">
        <v>393</v>
      </c>
      <c r="AR9" s="164" t="s">
        <v>393</v>
      </c>
      <c r="AV9" s="170" t="s">
        <v>394</v>
      </c>
    </row>
    <row r="10" spans="1:48" ht="12.75">
      <c r="A10" t="s">
        <v>57</v>
      </c>
      <c r="B10" t="s">
        <v>385</v>
      </c>
      <c r="C10" t="s">
        <v>386</v>
      </c>
      <c r="D10" t="s">
        <v>387</v>
      </c>
      <c r="E10" s="163" t="s">
        <v>400</v>
      </c>
      <c r="F10" s="164" t="s">
        <v>401</v>
      </c>
      <c r="H10" s="163" t="s">
        <v>396</v>
      </c>
      <c r="I10" s="2"/>
      <c r="J10" s="165">
        <v>100</v>
      </c>
      <c r="L10" s="163" t="s">
        <v>389</v>
      </c>
      <c r="M10" s="2"/>
      <c r="N10" s="164" t="s">
        <v>390</v>
      </c>
      <c r="P10" s="163" t="s">
        <v>391</v>
      </c>
      <c r="Q10" s="166">
        <v>752.9912576111836</v>
      </c>
      <c r="R10" s="167">
        <v>1245.8458799999996</v>
      </c>
      <c r="U10" s="163">
        <v>15</v>
      </c>
      <c r="W10" s="164" t="s">
        <v>392</v>
      </c>
      <c r="X10" s="166">
        <v>6491.303944923998</v>
      </c>
      <c r="Y10" s="168">
        <v>8.620689655172415</v>
      </c>
      <c r="Z10" s="166">
        <v>8460.575928215545</v>
      </c>
      <c r="AA10" s="168">
        <v>11.235955056179774</v>
      </c>
      <c r="AB10" s="169">
        <v>1969.2719832915473</v>
      </c>
      <c r="AC10" s="168">
        <v>2.3537388609066237</v>
      </c>
      <c r="AQ10" s="164" t="s">
        <v>393</v>
      </c>
      <c r="AR10" s="164" t="s">
        <v>393</v>
      </c>
      <c r="AV10" s="170" t="s">
        <v>394</v>
      </c>
    </row>
    <row r="11" spans="1:48" ht="12.75">
      <c r="A11" t="s">
        <v>59</v>
      </c>
      <c r="B11" t="s">
        <v>385</v>
      </c>
      <c r="C11" t="s">
        <v>386</v>
      </c>
      <c r="D11" t="s">
        <v>387</v>
      </c>
      <c r="E11" s="163" t="s">
        <v>403</v>
      </c>
      <c r="F11" s="164" t="s">
        <v>404</v>
      </c>
      <c r="H11" s="163" t="s">
        <v>388</v>
      </c>
      <c r="I11" s="2"/>
      <c r="J11" s="165">
        <v>188</v>
      </c>
      <c r="L11" s="163" t="s">
        <v>389</v>
      </c>
      <c r="M11" s="2"/>
      <c r="N11" s="164" t="s">
        <v>390</v>
      </c>
      <c r="P11" s="163" t="s">
        <v>391</v>
      </c>
      <c r="Q11" s="166">
        <v>352.22523464423926</v>
      </c>
      <c r="R11" s="167">
        <v>1728.0432000000008</v>
      </c>
      <c r="U11" s="163">
        <v>15</v>
      </c>
      <c r="W11" s="164" t="s">
        <v>392</v>
      </c>
      <c r="X11" s="166">
        <v>5758.1168794014775</v>
      </c>
      <c r="Y11" s="168">
        <v>16.347826086956523</v>
      </c>
      <c r="Z11" s="166">
        <v>7790.393425072586</v>
      </c>
      <c r="AA11" s="168">
        <v>22.11764705882353</v>
      </c>
      <c r="AB11" s="169">
        <v>2032.2765456711086</v>
      </c>
      <c r="AC11" s="168">
        <v>5.192838874680305</v>
      </c>
      <c r="AQ11" s="164" t="s">
        <v>393</v>
      </c>
      <c r="AR11" s="164" t="s">
        <v>393</v>
      </c>
      <c r="AV11" s="170" t="s">
        <v>394</v>
      </c>
    </row>
    <row r="12" spans="1:48" ht="12.75">
      <c r="A12" t="s">
        <v>59</v>
      </c>
      <c r="B12" t="s">
        <v>385</v>
      </c>
      <c r="C12" t="s">
        <v>386</v>
      </c>
      <c r="D12" t="s">
        <v>387</v>
      </c>
      <c r="E12" s="163" t="s">
        <v>403</v>
      </c>
      <c r="F12" s="164" t="s">
        <v>404</v>
      </c>
      <c r="H12" s="163" t="s">
        <v>395</v>
      </c>
      <c r="I12" s="2"/>
      <c r="J12" s="165">
        <v>188</v>
      </c>
      <c r="L12" s="163" t="s">
        <v>389</v>
      </c>
      <c r="M12" s="2"/>
      <c r="N12" s="164" t="s">
        <v>390</v>
      </c>
      <c r="P12" s="163" t="s">
        <v>391</v>
      </c>
      <c r="Q12" s="166">
        <v>850.9805442126205</v>
      </c>
      <c r="R12" s="167">
        <v>1728.0432000000008</v>
      </c>
      <c r="U12" s="163">
        <v>15</v>
      </c>
      <c r="W12" s="164" t="s">
        <v>392</v>
      </c>
      <c r="X12" s="166">
        <v>13911.681940171537</v>
      </c>
      <c r="Y12" s="168">
        <v>16.347826086956523</v>
      </c>
      <c r="Z12" s="166">
        <v>18821.687330820314</v>
      </c>
      <c r="AA12" s="168">
        <v>22.11764705882353</v>
      </c>
      <c r="AB12" s="169">
        <v>4910.005390648777</v>
      </c>
      <c r="AC12" s="168">
        <v>5.192838874680305</v>
      </c>
      <c r="AQ12" s="164" t="s">
        <v>393</v>
      </c>
      <c r="AR12" s="164" t="s">
        <v>393</v>
      </c>
      <c r="AV12" s="170" t="s">
        <v>394</v>
      </c>
    </row>
    <row r="13" spans="1:48" ht="12.75">
      <c r="A13" t="s">
        <v>59</v>
      </c>
      <c r="B13" t="s">
        <v>385</v>
      </c>
      <c r="C13" t="s">
        <v>386</v>
      </c>
      <c r="D13" t="s">
        <v>387</v>
      </c>
      <c r="E13" s="163" t="s">
        <v>403</v>
      </c>
      <c r="F13" s="164" t="s">
        <v>404</v>
      </c>
      <c r="H13" s="163" t="s">
        <v>396</v>
      </c>
      <c r="I13" s="2"/>
      <c r="J13" s="165">
        <v>188</v>
      </c>
      <c r="L13" s="163" t="s">
        <v>389</v>
      </c>
      <c r="M13" s="2"/>
      <c r="N13" s="164" t="s">
        <v>390</v>
      </c>
      <c r="P13" s="163" t="s">
        <v>391</v>
      </c>
      <c r="Q13" s="166">
        <v>752.9912576111836</v>
      </c>
      <c r="R13" s="167">
        <v>1728.0432000000008</v>
      </c>
      <c r="U13" s="163">
        <v>15</v>
      </c>
      <c r="W13" s="164" t="s">
        <v>392</v>
      </c>
      <c r="X13" s="166">
        <v>12309.770124426308</v>
      </c>
      <c r="Y13" s="168">
        <v>16.347826086956523</v>
      </c>
      <c r="Z13" s="166">
        <v>16654.394874223824</v>
      </c>
      <c r="AA13" s="168">
        <v>22.11764705882353</v>
      </c>
      <c r="AB13" s="169">
        <v>4344.624749797516</v>
      </c>
      <c r="AC13" s="168">
        <v>5.192838874680305</v>
      </c>
      <c r="AQ13" s="164" t="s">
        <v>393</v>
      </c>
      <c r="AR13" s="164" t="s">
        <v>393</v>
      </c>
      <c r="AV13" s="170" t="s">
        <v>394</v>
      </c>
    </row>
    <row r="14" spans="1:48" ht="12.75">
      <c r="A14" t="s">
        <v>59</v>
      </c>
      <c r="B14" t="s">
        <v>385</v>
      </c>
      <c r="C14" t="s">
        <v>386</v>
      </c>
      <c r="D14" t="s">
        <v>387</v>
      </c>
      <c r="E14" s="163" t="s">
        <v>405</v>
      </c>
      <c r="F14" s="164" t="s">
        <v>406</v>
      </c>
      <c r="H14" s="163" t="s">
        <v>388</v>
      </c>
      <c r="I14" s="2"/>
      <c r="J14" s="165">
        <v>500</v>
      </c>
      <c r="L14" s="163" t="s">
        <v>389</v>
      </c>
      <c r="M14" s="2"/>
      <c r="N14" s="164" t="s">
        <v>390</v>
      </c>
      <c r="P14" s="163" t="s">
        <v>391</v>
      </c>
      <c r="Q14" s="166">
        <v>352.22523464423926</v>
      </c>
      <c r="R14" s="167">
        <v>4821.729300000001</v>
      </c>
      <c r="U14" s="163">
        <v>15</v>
      </c>
      <c r="W14" s="164" t="s">
        <v>392</v>
      </c>
      <c r="X14" s="166">
        <v>16772.63022115425</v>
      </c>
      <c r="Y14" s="168">
        <v>47.61904761904762</v>
      </c>
      <c r="Z14" s="166">
        <v>20719.131449661134</v>
      </c>
      <c r="AA14" s="168">
        <v>58.8235294117647</v>
      </c>
      <c r="AB14" s="169">
        <v>3946.501228506884</v>
      </c>
      <c r="AC14" s="168">
        <v>10.084033613445374</v>
      </c>
      <c r="AQ14" s="164" t="s">
        <v>393</v>
      </c>
      <c r="AR14" s="164" t="s">
        <v>393</v>
      </c>
      <c r="AV14" s="170" t="s">
        <v>394</v>
      </c>
    </row>
    <row r="15" spans="1:48" ht="12.75">
      <c r="A15" t="s">
        <v>59</v>
      </c>
      <c r="B15" t="s">
        <v>385</v>
      </c>
      <c r="C15" t="s">
        <v>386</v>
      </c>
      <c r="D15" t="s">
        <v>387</v>
      </c>
      <c r="E15" s="163" t="s">
        <v>405</v>
      </c>
      <c r="F15" s="164" t="s">
        <v>406</v>
      </c>
      <c r="H15" s="163" t="s">
        <v>395</v>
      </c>
      <c r="I15" s="2"/>
      <c r="J15" s="165">
        <v>500</v>
      </c>
      <c r="L15" s="163" t="s">
        <v>389</v>
      </c>
      <c r="M15" s="2"/>
      <c r="N15" s="164" t="s">
        <v>390</v>
      </c>
      <c r="P15" s="163" t="s">
        <v>391</v>
      </c>
      <c r="Q15" s="166">
        <v>850.9805442126205</v>
      </c>
      <c r="R15" s="167">
        <v>4821.729300000001</v>
      </c>
      <c r="U15" s="163">
        <v>15</v>
      </c>
      <c r="W15" s="164" t="s">
        <v>392</v>
      </c>
      <c r="X15" s="166">
        <v>40522.883057743835</v>
      </c>
      <c r="Y15" s="168">
        <v>47.61904761904762</v>
      </c>
      <c r="Z15" s="166">
        <v>50057.67907133062</v>
      </c>
      <c r="AA15" s="168">
        <v>58.8235294117647</v>
      </c>
      <c r="AB15" s="169">
        <v>9534.796013586783</v>
      </c>
      <c r="AC15" s="168">
        <v>10.084033613445374</v>
      </c>
      <c r="AQ15" s="164" t="s">
        <v>393</v>
      </c>
      <c r="AR15" s="164" t="s">
        <v>393</v>
      </c>
      <c r="AV15" s="170" t="s">
        <v>394</v>
      </c>
    </row>
    <row r="16" spans="1:48" ht="12.75">
      <c r="A16" t="s">
        <v>59</v>
      </c>
      <c r="B16" t="s">
        <v>385</v>
      </c>
      <c r="C16" t="s">
        <v>386</v>
      </c>
      <c r="D16" t="s">
        <v>387</v>
      </c>
      <c r="E16" s="163" t="s">
        <v>405</v>
      </c>
      <c r="F16" s="164" t="s">
        <v>406</v>
      </c>
      <c r="H16" s="163" t="s">
        <v>396</v>
      </c>
      <c r="I16" s="2"/>
      <c r="J16" s="165">
        <v>500</v>
      </c>
      <c r="L16" s="163" t="s">
        <v>389</v>
      </c>
      <c r="M16" s="2"/>
      <c r="N16" s="164" t="s">
        <v>390</v>
      </c>
      <c r="P16" s="163" t="s">
        <v>391</v>
      </c>
      <c r="Q16" s="166">
        <v>752.9912576111836</v>
      </c>
      <c r="R16" s="167">
        <v>4821.729300000001</v>
      </c>
      <c r="U16" s="163">
        <v>15</v>
      </c>
      <c r="W16" s="164" t="s">
        <v>392</v>
      </c>
      <c r="X16" s="166">
        <v>35856.72655291351</v>
      </c>
      <c r="Y16" s="168">
        <v>47.61904761904762</v>
      </c>
      <c r="Z16" s="166">
        <v>44293.603388893156</v>
      </c>
      <c r="AA16" s="168">
        <v>58.8235294117647</v>
      </c>
      <c r="AB16" s="169">
        <v>8436.876835979645</v>
      </c>
      <c r="AC16" s="168">
        <v>10.084033613445374</v>
      </c>
      <c r="AQ16" s="164" t="s">
        <v>393</v>
      </c>
      <c r="AR16" s="164" t="s">
        <v>393</v>
      </c>
      <c r="AV16" s="170" t="s">
        <v>394</v>
      </c>
    </row>
    <row r="17" spans="1:48" ht="12.75">
      <c r="A17" t="s">
        <v>60</v>
      </c>
      <c r="B17" t="s">
        <v>385</v>
      </c>
      <c r="C17" t="s">
        <v>386</v>
      </c>
      <c r="D17" t="s">
        <v>387</v>
      </c>
      <c r="E17" s="163" t="s">
        <v>407</v>
      </c>
      <c r="F17" s="164" t="s">
        <v>408</v>
      </c>
      <c r="H17" s="163" t="s">
        <v>388</v>
      </c>
      <c r="I17" s="2"/>
      <c r="J17" s="165">
        <v>840</v>
      </c>
      <c r="L17" s="163" t="s">
        <v>389</v>
      </c>
      <c r="M17" s="2"/>
      <c r="N17" s="164" t="s">
        <v>390</v>
      </c>
      <c r="P17" s="163" t="s">
        <v>391</v>
      </c>
      <c r="Q17" s="166">
        <v>352.22523464423926</v>
      </c>
      <c r="R17" s="167">
        <v>6870.78</v>
      </c>
      <c r="U17" s="163">
        <v>15</v>
      </c>
      <c r="W17" s="164" t="s">
        <v>392</v>
      </c>
      <c r="X17" s="166">
        <v>31475.446500123508</v>
      </c>
      <c r="Y17" s="168">
        <v>89.36170212765957</v>
      </c>
      <c r="Z17" s="166">
        <v>36081.60940258061</v>
      </c>
      <c r="AA17" s="168">
        <v>102.43902439024392</v>
      </c>
      <c r="AB17" s="169">
        <v>4606.162902457101</v>
      </c>
      <c r="AC17" s="168">
        <v>11.769590036325912</v>
      </c>
      <c r="AQ17" s="164" t="s">
        <v>393</v>
      </c>
      <c r="AR17" s="164" t="s">
        <v>393</v>
      </c>
      <c r="AV17" s="170" t="s">
        <v>394</v>
      </c>
    </row>
    <row r="18" spans="1:48" ht="12.75">
      <c r="A18" t="s">
        <v>60</v>
      </c>
      <c r="B18" t="s">
        <v>385</v>
      </c>
      <c r="C18" t="s">
        <v>386</v>
      </c>
      <c r="D18" t="s">
        <v>387</v>
      </c>
      <c r="E18" s="163" t="s">
        <v>407</v>
      </c>
      <c r="F18" s="164" t="s">
        <v>408</v>
      </c>
      <c r="H18" s="163" t="s">
        <v>395</v>
      </c>
      <c r="I18" s="2"/>
      <c r="J18" s="165">
        <v>840</v>
      </c>
      <c r="L18" s="163" t="s">
        <v>389</v>
      </c>
      <c r="M18" s="2"/>
      <c r="N18" s="164" t="s">
        <v>390</v>
      </c>
      <c r="P18" s="163" t="s">
        <v>391</v>
      </c>
      <c r="Q18" s="166">
        <v>850.9805442126205</v>
      </c>
      <c r="R18" s="167">
        <v>6870.78</v>
      </c>
      <c r="U18" s="163">
        <v>15</v>
      </c>
      <c r="W18" s="164" t="s">
        <v>392</v>
      </c>
      <c r="X18" s="166">
        <v>76045.06990836184</v>
      </c>
      <c r="Y18" s="168">
        <v>89.36170212765957</v>
      </c>
      <c r="Z18" s="166">
        <v>87173.61672421968</v>
      </c>
      <c r="AA18" s="168">
        <v>102.43902439024392</v>
      </c>
      <c r="AB18" s="169">
        <v>11128.546815857844</v>
      </c>
      <c r="AC18" s="168">
        <v>11.769590036325912</v>
      </c>
      <c r="AQ18" s="164" t="s">
        <v>393</v>
      </c>
      <c r="AR18" s="164" t="s">
        <v>393</v>
      </c>
      <c r="AV18" s="170" t="s">
        <v>394</v>
      </c>
    </row>
    <row r="19" spans="1:48" ht="12.75">
      <c r="A19" t="s">
        <v>60</v>
      </c>
      <c r="B19" t="s">
        <v>385</v>
      </c>
      <c r="C19" t="s">
        <v>386</v>
      </c>
      <c r="D19" t="s">
        <v>387</v>
      </c>
      <c r="E19" s="163" t="s">
        <v>407</v>
      </c>
      <c r="F19" s="164" t="s">
        <v>408</v>
      </c>
      <c r="H19" s="163" t="s">
        <v>396</v>
      </c>
      <c r="I19" s="2"/>
      <c r="J19" s="165">
        <v>840</v>
      </c>
      <c r="L19" s="163" t="s">
        <v>389</v>
      </c>
      <c r="M19" s="2"/>
      <c r="N19" s="164" t="s">
        <v>390</v>
      </c>
      <c r="P19" s="163" t="s">
        <v>391</v>
      </c>
      <c r="Q19" s="166">
        <v>752.9912576111836</v>
      </c>
      <c r="R19" s="167">
        <v>6870.78</v>
      </c>
      <c r="U19" s="163">
        <v>15</v>
      </c>
      <c r="W19" s="164" t="s">
        <v>392</v>
      </c>
      <c r="X19" s="166">
        <v>67288.58046738236</v>
      </c>
      <c r="Y19" s="168">
        <v>89.36170212765957</v>
      </c>
      <c r="Z19" s="166">
        <v>77135.68980407248</v>
      </c>
      <c r="AA19" s="168">
        <v>102.43902439024392</v>
      </c>
      <c r="AB19" s="169">
        <v>9847.109336690119</v>
      </c>
      <c r="AC19" s="168">
        <v>11.769590036325912</v>
      </c>
      <c r="AQ19" s="164" t="s">
        <v>393</v>
      </c>
      <c r="AR19" s="164" t="s">
        <v>393</v>
      </c>
      <c r="AV19" s="170" t="s">
        <v>394</v>
      </c>
    </row>
    <row r="21" spans="1:48" ht="12.75">
      <c r="A21" s="78" t="s">
        <v>61</v>
      </c>
      <c r="B21" t="s">
        <v>385</v>
      </c>
      <c r="C21" t="s">
        <v>386</v>
      </c>
      <c r="D21" t="s">
        <v>61</v>
      </c>
      <c r="E21" s="171" t="s">
        <v>409</v>
      </c>
      <c r="F21" s="172" t="s">
        <v>410</v>
      </c>
      <c r="H21" s="163" t="s">
        <v>388</v>
      </c>
      <c r="I21" s="2"/>
      <c r="J21" s="173">
        <v>7</v>
      </c>
      <c r="L21" s="163" t="s">
        <v>389</v>
      </c>
      <c r="M21" s="2"/>
      <c r="N21" s="164" t="s">
        <v>390</v>
      </c>
      <c r="P21" s="163" t="s">
        <v>391</v>
      </c>
      <c r="Q21" s="166">
        <v>352.22523464423926</v>
      </c>
      <c r="R21" s="167">
        <v>105</v>
      </c>
      <c r="U21" s="174">
        <v>15</v>
      </c>
      <c r="W21" s="164" t="s">
        <v>392</v>
      </c>
      <c r="X21" s="168">
        <v>186.78610928103598</v>
      </c>
      <c r="Y21" s="168">
        <v>0.5303030303030303</v>
      </c>
      <c r="Z21" s="168">
        <v>223.9600910627373</v>
      </c>
      <c r="AA21" s="168">
        <v>0.6358434008538468</v>
      </c>
      <c r="AB21" s="168">
        <v>37.173981781701315</v>
      </c>
      <c r="AC21" s="175">
        <v>0.0949863334957349</v>
      </c>
      <c r="AQ21" s="164" t="s">
        <v>393</v>
      </c>
      <c r="AR21" s="164" t="s">
        <v>393</v>
      </c>
      <c r="AV21" s="176" t="s">
        <v>411</v>
      </c>
    </row>
    <row r="22" spans="1:48" ht="12.75">
      <c r="A22" s="78" t="s">
        <v>61</v>
      </c>
      <c r="B22" t="s">
        <v>385</v>
      </c>
      <c r="C22" t="s">
        <v>386</v>
      </c>
      <c r="D22" t="s">
        <v>61</v>
      </c>
      <c r="E22" s="171" t="s">
        <v>409</v>
      </c>
      <c r="F22" s="172" t="s">
        <v>410</v>
      </c>
      <c r="H22" s="163" t="s">
        <v>395</v>
      </c>
      <c r="I22" s="2"/>
      <c r="J22" s="173">
        <v>7</v>
      </c>
      <c r="L22" s="163" t="s">
        <v>389</v>
      </c>
      <c r="M22" s="2"/>
      <c r="N22" s="164" t="s">
        <v>390</v>
      </c>
      <c r="P22" s="163" t="s">
        <v>391</v>
      </c>
      <c r="Q22" s="166">
        <v>850.9805442126205</v>
      </c>
      <c r="R22" s="167">
        <v>105</v>
      </c>
      <c r="U22" s="174">
        <v>15</v>
      </c>
      <c r="W22" s="164" t="s">
        <v>392</v>
      </c>
      <c r="X22" s="168">
        <v>451.2775613248745</v>
      </c>
      <c r="Y22" s="168">
        <v>0.5303030303030303</v>
      </c>
      <c r="Z22" s="168">
        <v>541.09036329261</v>
      </c>
      <c r="AA22" s="168">
        <v>0.6358434008538468</v>
      </c>
      <c r="AB22" s="168">
        <v>89.81280196773554</v>
      </c>
      <c r="AC22" s="175">
        <v>0.0949863334957349</v>
      </c>
      <c r="AQ22" s="164" t="s">
        <v>393</v>
      </c>
      <c r="AR22" s="164" t="s">
        <v>393</v>
      </c>
      <c r="AV22" s="176" t="s">
        <v>411</v>
      </c>
    </row>
    <row r="23" spans="1:48" ht="12.75">
      <c r="A23" s="78" t="s">
        <v>61</v>
      </c>
      <c r="B23" t="s">
        <v>385</v>
      </c>
      <c r="C23" t="s">
        <v>386</v>
      </c>
      <c r="D23" t="s">
        <v>61</v>
      </c>
      <c r="E23" s="171" t="s">
        <v>409</v>
      </c>
      <c r="F23" s="172" t="s">
        <v>410</v>
      </c>
      <c r="H23" s="163" t="s">
        <v>396</v>
      </c>
      <c r="I23" s="2"/>
      <c r="J23" s="173">
        <v>7</v>
      </c>
      <c r="L23" s="163" t="s">
        <v>389</v>
      </c>
      <c r="M23" s="2"/>
      <c r="N23" s="164" t="s">
        <v>390</v>
      </c>
      <c r="P23" s="163" t="s">
        <v>391</v>
      </c>
      <c r="Q23" s="166">
        <v>752.9912576111836</v>
      </c>
      <c r="R23" s="167">
        <v>105</v>
      </c>
      <c r="U23" s="174">
        <v>15</v>
      </c>
      <c r="W23" s="164" t="s">
        <v>392</v>
      </c>
      <c r="X23" s="168">
        <v>399.3135457029004</v>
      </c>
      <c r="Y23" s="168">
        <v>0.5303030303030303</v>
      </c>
      <c r="Z23" s="168">
        <v>478.7845220527101</v>
      </c>
      <c r="AA23" s="168">
        <v>0.6358434008538468</v>
      </c>
      <c r="AB23" s="168">
        <v>79.47097634980969</v>
      </c>
      <c r="AC23" s="175">
        <v>0.0949863334957349</v>
      </c>
      <c r="AQ23" s="164" t="s">
        <v>393</v>
      </c>
      <c r="AR23" s="164" t="s">
        <v>393</v>
      </c>
      <c r="AV23" s="176" t="s">
        <v>411</v>
      </c>
    </row>
    <row r="24" spans="1:48" ht="12.75">
      <c r="A24" s="78"/>
      <c r="E24" s="171"/>
      <c r="F24" s="172"/>
      <c r="H24" s="163"/>
      <c r="I24" s="2"/>
      <c r="J24" s="173"/>
      <c r="L24" s="163"/>
      <c r="M24" s="2"/>
      <c r="N24" s="164"/>
      <c r="P24" s="163"/>
      <c r="Q24" s="166"/>
      <c r="R24" s="167"/>
      <c r="U24" s="174"/>
      <c r="W24" s="164"/>
      <c r="X24" s="168"/>
      <c r="Y24" s="168"/>
      <c r="Z24" s="168"/>
      <c r="AA24" s="168"/>
      <c r="AB24" s="168"/>
      <c r="AC24" s="175"/>
      <c r="AQ24" s="164"/>
      <c r="AR24" s="164"/>
      <c r="AV24" s="176"/>
    </row>
    <row r="26" spans="1:48" ht="12.75">
      <c r="A26" s="78" t="s">
        <v>69</v>
      </c>
      <c r="B26" t="s">
        <v>385</v>
      </c>
      <c r="C26" t="s">
        <v>386</v>
      </c>
      <c r="D26" t="s">
        <v>424</v>
      </c>
      <c r="E26" s="163" t="s">
        <v>425</v>
      </c>
      <c r="F26" s="164" t="s">
        <v>426</v>
      </c>
      <c r="H26" s="163" t="s">
        <v>388</v>
      </c>
      <c r="J26" s="165">
        <v>100</v>
      </c>
      <c r="L26" s="163"/>
      <c r="N26" s="164" t="s">
        <v>390</v>
      </c>
      <c r="P26" s="163" t="s">
        <v>391</v>
      </c>
      <c r="Q26" s="166">
        <v>352.22523464423926</v>
      </c>
      <c r="R26" s="209">
        <v>14551.900000000001</v>
      </c>
      <c r="U26" s="163">
        <v>20</v>
      </c>
      <c r="W26" s="164" t="s">
        <v>392</v>
      </c>
      <c r="X26" s="166">
        <v>18808.827530002374</v>
      </c>
      <c r="Y26" s="168">
        <v>53.39999999999999</v>
      </c>
      <c r="Z26" s="166">
        <v>22190.189782587073</v>
      </c>
      <c r="AA26" s="168">
        <v>63</v>
      </c>
      <c r="AB26" s="169">
        <v>3381.3622525846986</v>
      </c>
      <c r="AC26" s="210">
        <v>8.640000000000008</v>
      </c>
      <c r="AQ26" s="164" t="s">
        <v>394</v>
      </c>
      <c r="AR26" s="164" t="s">
        <v>394</v>
      </c>
      <c r="AV26" s="211" t="s">
        <v>394</v>
      </c>
    </row>
    <row r="27" spans="1:48" ht="12.75">
      <c r="A27" s="78" t="s">
        <v>69</v>
      </c>
      <c r="B27" t="s">
        <v>385</v>
      </c>
      <c r="C27" t="s">
        <v>386</v>
      </c>
      <c r="D27" t="s">
        <v>424</v>
      </c>
      <c r="E27" s="163" t="s">
        <v>425</v>
      </c>
      <c r="F27" s="164" t="s">
        <v>426</v>
      </c>
      <c r="H27" s="163" t="s">
        <v>395</v>
      </c>
      <c r="J27" s="165">
        <v>100</v>
      </c>
      <c r="L27" s="163"/>
      <c r="N27" s="164" t="s">
        <v>390</v>
      </c>
      <c r="P27" s="163" t="s">
        <v>391</v>
      </c>
      <c r="Q27" s="166">
        <v>850.9805442126205</v>
      </c>
      <c r="R27" s="209">
        <v>14551.900000000001</v>
      </c>
      <c r="U27" s="163">
        <v>20</v>
      </c>
      <c r="W27" s="164" t="s">
        <v>392</v>
      </c>
      <c r="X27" s="166">
        <v>45442.36106095393</v>
      </c>
      <c r="Y27" s="168">
        <v>53.39999999999999</v>
      </c>
      <c r="Z27" s="166">
        <v>53611.77428539509</v>
      </c>
      <c r="AA27" s="168">
        <v>63</v>
      </c>
      <c r="AB27" s="169">
        <v>8169.413224441159</v>
      </c>
      <c r="AC27" s="210">
        <v>8.640000000000008</v>
      </c>
      <c r="AQ27" s="164" t="s">
        <v>394</v>
      </c>
      <c r="AR27" s="164" t="s">
        <v>394</v>
      </c>
      <c r="AV27" s="211" t="s">
        <v>394</v>
      </c>
    </row>
    <row r="28" spans="1:48" ht="12.75">
      <c r="A28" s="78" t="s">
        <v>69</v>
      </c>
      <c r="B28" t="s">
        <v>385</v>
      </c>
      <c r="C28" t="s">
        <v>386</v>
      </c>
      <c r="D28" t="s">
        <v>424</v>
      </c>
      <c r="E28" s="163" t="s">
        <v>425</v>
      </c>
      <c r="F28" s="164" t="s">
        <v>426</v>
      </c>
      <c r="H28" s="163" t="s">
        <v>396</v>
      </c>
      <c r="J28" s="165">
        <v>100</v>
      </c>
      <c r="L28" s="163"/>
      <c r="N28" s="164" t="s">
        <v>390</v>
      </c>
      <c r="P28" s="163" t="s">
        <v>391</v>
      </c>
      <c r="Q28" s="166">
        <v>752.9912576111836</v>
      </c>
      <c r="R28" s="209">
        <v>14551.900000000001</v>
      </c>
      <c r="U28" s="163">
        <v>20</v>
      </c>
      <c r="W28" s="164" t="s">
        <v>392</v>
      </c>
      <c r="X28" s="166">
        <v>40209.7331564372</v>
      </c>
      <c r="Y28" s="168">
        <v>53.39999999999999</v>
      </c>
      <c r="Z28" s="166">
        <v>47438.44922950457</v>
      </c>
      <c r="AA28" s="168">
        <v>63</v>
      </c>
      <c r="AB28" s="169">
        <v>7228.716073067371</v>
      </c>
      <c r="AC28" s="210">
        <v>8.640000000000008</v>
      </c>
      <c r="AQ28" s="164" t="s">
        <v>394</v>
      </c>
      <c r="AR28" s="164" t="s">
        <v>394</v>
      </c>
      <c r="AV28" s="211" t="s">
        <v>394</v>
      </c>
    </row>
    <row r="29" spans="1:48" ht="12.75">
      <c r="A29" s="78" t="s">
        <v>70</v>
      </c>
      <c r="B29" t="s">
        <v>385</v>
      </c>
      <c r="C29" t="s">
        <v>386</v>
      </c>
      <c r="D29" t="s">
        <v>424</v>
      </c>
      <c r="E29" s="163" t="s">
        <v>427</v>
      </c>
      <c r="F29" s="164" t="s">
        <v>428</v>
      </c>
      <c r="H29" s="163" t="s">
        <v>388</v>
      </c>
      <c r="J29" s="165">
        <v>250</v>
      </c>
      <c r="L29" s="163"/>
      <c r="N29" s="164" t="s">
        <v>390</v>
      </c>
      <c r="P29" s="163" t="s">
        <v>391</v>
      </c>
      <c r="Q29" s="166">
        <v>352.22523464423926</v>
      </c>
      <c r="R29" s="209">
        <v>23460.5</v>
      </c>
      <c r="U29" s="163">
        <v>20</v>
      </c>
      <c r="W29" s="164" t="s">
        <v>392</v>
      </c>
      <c r="X29" s="166">
        <v>47022.06882500593</v>
      </c>
      <c r="Y29" s="168">
        <v>133.49999999999997</v>
      </c>
      <c r="Z29" s="166">
        <v>55475.47445646769</v>
      </c>
      <c r="AA29" s="168">
        <v>157.5</v>
      </c>
      <c r="AB29" s="169">
        <v>8453.405631461756</v>
      </c>
      <c r="AC29" s="210">
        <v>21.600000000000026</v>
      </c>
      <c r="AQ29" s="164" t="s">
        <v>394</v>
      </c>
      <c r="AR29" s="164" t="s">
        <v>394</v>
      </c>
      <c r="AV29" s="211" t="s">
        <v>394</v>
      </c>
    </row>
    <row r="30" spans="1:48" ht="12.75">
      <c r="A30" s="78" t="s">
        <v>70</v>
      </c>
      <c r="B30" t="s">
        <v>385</v>
      </c>
      <c r="C30" t="s">
        <v>386</v>
      </c>
      <c r="D30" t="s">
        <v>424</v>
      </c>
      <c r="E30" s="163" t="s">
        <v>427</v>
      </c>
      <c r="F30" s="164" t="s">
        <v>428</v>
      </c>
      <c r="H30" s="163" t="s">
        <v>395</v>
      </c>
      <c r="J30" s="165">
        <v>250</v>
      </c>
      <c r="L30" s="163"/>
      <c r="N30" s="164" t="s">
        <v>390</v>
      </c>
      <c r="P30" s="163" t="s">
        <v>391</v>
      </c>
      <c r="Q30" s="166">
        <v>850.9805442126205</v>
      </c>
      <c r="R30" s="209">
        <v>23460.5</v>
      </c>
      <c r="U30" s="163">
        <v>20</v>
      </c>
      <c r="W30" s="164" t="s">
        <v>392</v>
      </c>
      <c r="X30" s="166">
        <v>113605.90265238482</v>
      </c>
      <c r="Y30" s="168">
        <v>133.49999999999997</v>
      </c>
      <c r="Z30" s="166">
        <v>134029.43571348774</v>
      </c>
      <c r="AA30" s="168">
        <v>157.5</v>
      </c>
      <c r="AB30" s="169">
        <v>20423.53306110292</v>
      </c>
      <c r="AC30" s="210">
        <v>21.600000000000026</v>
      </c>
      <c r="AQ30" s="164" t="s">
        <v>394</v>
      </c>
      <c r="AR30" s="164" t="s">
        <v>394</v>
      </c>
      <c r="AV30" s="211" t="s">
        <v>394</v>
      </c>
    </row>
    <row r="31" spans="1:48" ht="12.75">
      <c r="A31" s="78" t="s">
        <v>70</v>
      </c>
      <c r="B31" t="s">
        <v>385</v>
      </c>
      <c r="C31" t="s">
        <v>386</v>
      </c>
      <c r="D31" t="s">
        <v>424</v>
      </c>
      <c r="E31" s="163" t="s">
        <v>427</v>
      </c>
      <c r="F31" s="164" t="s">
        <v>428</v>
      </c>
      <c r="H31" s="163" t="s">
        <v>396</v>
      </c>
      <c r="J31" s="165">
        <v>250</v>
      </c>
      <c r="L31" s="163"/>
      <c r="N31" s="164" t="s">
        <v>390</v>
      </c>
      <c r="P31" s="163" t="s">
        <v>391</v>
      </c>
      <c r="Q31" s="166">
        <v>752.9912576111836</v>
      </c>
      <c r="R31" s="209">
        <v>23460.5</v>
      </c>
      <c r="U31" s="163">
        <v>20</v>
      </c>
      <c r="W31" s="164" t="s">
        <v>392</v>
      </c>
      <c r="X31" s="166">
        <v>100524.332891093</v>
      </c>
      <c r="Y31" s="168">
        <v>133.49999999999997</v>
      </c>
      <c r="Z31" s="166">
        <v>118596.12307376142</v>
      </c>
      <c r="AA31" s="168">
        <v>157.5</v>
      </c>
      <c r="AB31" s="169">
        <v>18071.790182668425</v>
      </c>
      <c r="AC31" s="210">
        <v>21.600000000000026</v>
      </c>
      <c r="AQ31" s="164" t="s">
        <v>394</v>
      </c>
      <c r="AR31" s="164" t="s">
        <v>394</v>
      </c>
      <c r="AV31" s="211" t="s">
        <v>394</v>
      </c>
    </row>
    <row r="32" spans="1:48" ht="12.75">
      <c r="A32" s="78" t="s">
        <v>71</v>
      </c>
      <c r="B32" t="s">
        <v>385</v>
      </c>
      <c r="C32" t="s">
        <v>386</v>
      </c>
      <c r="D32" t="s">
        <v>424</v>
      </c>
      <c r="E32" s="163" t="s">
        <v>429</v>
      </c>
      <c r="F32" s="164" t="s">
        <v>430</v>
      </c>
      <c r="H32" s="163" t="s">
        <v>388</v>
      </c>
      <c r="J32" s="165">
        <v>500</v>
      </c>
      <c r="L32" s="163"/>
      <c r="N32" s="164" t="s">
        <v>390</v>
      </c>
      <c r="P32" s="163" t="s">
        <v>391</v>
      </c>
      <c r="Q32" s="166">
        <v>352.22523464423926</v>
      </c>
      <c r="R32" s="209">
        <v>32790.5</v>
      </c>
      <c r="U32" s="163">
        <v>20</v>
      </c>
      <c r="W32" s="164" t="s">
        <v>392</v>
      </c>
      <c r="X32" s="166">
        <v>92194.95516812964</v>
      </c>
      <c r="Y32" s="168">
        <v>261.75000000000006</v>
      </c>
      <c r="Z32" s="166">
        <v>110950.94891293538</v>
      </c>
      <c r="AA32" s="168">
        <v>315</v>
      </c>
      <c r="AB32" s="169">
        <v>18755.99374480573</v>
      </c>
      <c r="AC32" s="210">
        <v>47.92499999999995</v>
      </c>
      <c r="AQ32" s="164" t="s">
        <v>394</v>
      </c>
      <c r="AR32" s="164" t="s">
        <v>394</v>
      </c>
      <c r="AV32" s="211" t="s">
        <v>394</v>
      </c>
    </row>
    <row r="33" spans="1:48" ht="12.75">
      <c r="A33" s="78" t="s">
        <v>71</v>
      </c>
      <c r="B33" t="s">
        <v>385</v>
      </c>
      <c r="C33" t="s">
        <v>386</v>
      </c>
      <c r="D33" t="s">
        <v>424</v>
      </c>
      <c r="E33" s="163" t="s">
        <v>429</v>
      </c>
      <c r="F33" s="164" t="s">
        <v>430</v>
      </c>
      <c r="H33" s="163" t="s">
        <v>395</v>
      </c>
      <c r="J33" s="165">
        <v>500</v>
      </c>
      <c r="L33" s="163"/>
      <c r="N33" s="164" t="s">
        <v>390</v>
      </c>
      <c r="P33" s="163" t="s">
        <v>391</v>
      </c>
      <c r="Q33" s="166">
        <v>850.9805442126205</v>
      </c>
      <c r="R33" s="209">
        <v>32790.5</v>
      </c>
      <c r="U33" s="163">
        <v>20</v>
      </c>
      <c r="W33" s="164" t="s">
        <v>392</v>
      </c>
      <c r="X33" s="166">
        <v>222744.15744765347</v>
      </c>
      <c r="Y33" s="168">
        <v>261.75000000000006</v>
      </c>
      <c r="Z33" s="166">
        <v>268058.8714269755</v>
      </c>
      <c r="AA33" s="168">
        <v>315</v>
      </c>
      <c r="AB33" s="169">
        <v>45314.713979322</v>
      </c>
      <c r="AC33" s="210">
        <v>47.92499999999995</v>
      </c>
      <c r="AQ33" s="164" t="s">
        <v>394</v>
      </c>
      <c r="AR33" s="164" t="s">
        <v>394</v>
      </c>
      <c r="AV33" s="211" t="s">
        <v>394</v>
      </c>
    </row>
    <row r="34" spans="1:48" ht="12.75">
      <c r="A34" s="78" t="s">
        <v>71</v>
      </c>
      <c r="B34" t="s">
        <v>385</v>
      </c>
      <c r="C34" t="s">
        <v>386</v>
      </c>
      <c r="D34" t="s">
        <v>424</v>
      </c>
      <c r="E34" s="163" t="s">
        <v>429</v>
      </c>
      <c r="F34" s="164" t="s">
        <v>430</v>
      </c>
      <c r="H34" s="163" t="s">
        <v>396</v>
      </c>
      <c r="J34" s="165">
        <v>500</v>
      </c>
      <c r="L34" s="163"/>
      <c r="N34" s="164" t="s">
        <v>390</v>
      </c>
      <c r="P34" s="163" t="s">
        <v>391</v>
      </c>
      <c r="Q34" s="166">
        <v>752.9912576111836</v>
      </c>
      <c r="R34" s="209">
        <v>32790.5</v>
      </c>
      <c r="U34" s="163">
        <v>20</v>
      </c>
      <c r="W34" s="164" t="s">
        <v>392</v>
      </c>
      <c r="X34" s="166">
        <v>197095.46167972736</v>
      </c>
      <c r="Y34" s="168">
        <v>261.75000000000006</v>
      </c>
      <c r="Z34" s="166">
        <v>237192.24614752285</v>
      </c>
      <c r="AA34" s="168">
        <v>315</v>
      </c>
      <c r="AB34" s="169">
        <v>40096.784467795485</v>
      </c>
      <c r="AC34" s="210">
        <v>47.92499999999995</v>
      </c>
      <c r="AQ34" s="164" t="s">
        <v>394</v>
      </c>
      <c r="AR34" s="164" t="s">
        <v>394</v>
      </c>
      <c r="AV34" s="211" t="s">
        <v>394</v>
      </c>
    </row>
    <row r="36" spans="1:48" ht="12.75">
      <c r="A36" s="78" t="s">
        <v>89</v>
      </c>
      <c r="B36" t="s">
        <v>385</v>
      </c>
      <c r="C36" t="s">
        <v>386</v>
      </c>
      <c r="D36" t="s">
        <v>435</v>
      </c>
      <c r="E36" s="163" t="s">
        <v>436</v>
      </c>
      <c r="F36" s="164" t="s">
        <v>437</v>
      </c>
      <c r="H36" s="163" t="s">
        <v>388</v>
      </c>
      <c r="J36" s="165">
        <v>100</v>
      </c>
      <c r="L36" s="163"/>
      <c r="N36" s="164" t="s">
        <v>390</v>
      </c>
      <c r="P36" s="163" t="s">
        <v>391</v>
      </c>
      <c r="Q36" s="166">
        <v>352.22523464423926</v>
      </c>
      <c r="R36" s="209">
        <v>3993.5</v>
      </c>
      <c r="U36" s="163">
        <v>25</v>
      </c>
      <c r="W36" s="164" t="s">
        <v>392</v>
      </c>
      <c r="X36" s="166">
        <v>40505.90198408751</v>
      </c>
      <c r="Y36" s="168">
        <v>114.99999999999999</v>
      </c>
      <c r="Z36" s="166">
        <v>45789.280503751106</v>
      </c>
      <c r="AA36" s="168">
        <v>130</v>
      </c>
      <c r="AB36" s="169">
        <v>5283.3785196635945</v>
      </c>
      <c r="AC36" s="210">
        <v>13.500000000000012</v>
      </c>
      <c r="AQ36" s="164" t="s">
        <v>393</v>
      </c>
      <c r="AR36" s="164" t="s">
        <v>393</v>
      </c>
      <c r="AV36" s="211" t="s">
        <v>393</v>
      </c>
    </row>
    <row r="37" spans="1:48" ht="12.75">
      <c r="A37" s="78" t="s">
        <v>89</v>
      </c>
      <c r="B37" t="s">
        <v>385</v>
      </c>
      <c r="C37" t="s">
        <v>386</v>
      </c>
      <c r="D37" t="s">
        <v>435</v>
      </c>
      <c r="E37" s="163" t="s">
        <v>436</v>
      </c>
      <c r="F37" s="164" t="s">
        <v>437</v>
      </c>
      <c r="H37" s="163" t="s">
        <v>395</v>
      </c>
      <c r="J37" s="165">
        <v>100</v>
      </c>
      <c r="L37" s="163"/>
      <c r="N37" s="164" t="s">
        <v>390</v>
      </c>
      <c r="P37" s="163" t="s">
        <v>391</v>
      </c>
      <c r="Q37" s="166">
        <v>850.9805442126205</v>
      </c>
      <c r="R37" s="209">
        <v>3993.5</v>
      </c>
      <c r="U37" s="163">
        <v>25</v>
      </c>
      <c r="W37" s="164" t="s">
        <v>392</v>
      </c>
      <c r="X37" s="166">
        <v>97862.76258445135</v>
      </c>
      <c r="Y37" s="168">
        <v>114.99999999999999</v>
      </c>
      <c r="Z37" s="166">
        <v>110627.47074764068</v>
      </c>
      <c r="AA37" s="168">
        <v>130</v>
      </c>
      <c r="AB37" s="169">
        <v>12764.708163189323</v>
      </c>
      <c r="AC37" s="210">
        <v>13.500000000000012</v>
      </c>
      <c r="AQ37" s="164" t="s">
        <v>393</v>
      </c>
      <c r="AR37" s="164" t="s">
        <v>393</v>
      </c>
      <c r="AV37" s="211" t="s">
        <v>393</v>
      </c>
    </row>
    <row r="38" spans="1:48" ht="12.75">
      <c r="A38" s="78" t="s">
        <v>89</v>
      </c>
      <c r="B38" t="s">
        <v>385</v>
      </c>
      <c r="C38" t="s">
        <v>386</v>
      </c>
      <c r="D38" t="s">
        <v>435</v>
      </c>
      <c r="E38" s="163" t="s">
        <v>436</v>
      </c>
      <c r="F38" s="164" t="s">
        <v>437</v>
      </c>
      <c r="H38" s="163" t="s">
        <v>396</v>
      </c>
      <c r="J38" s="165">
        <v>100</v>
      </c>
      <c r="L38" s="163"/>
      <c r="N38" s="164" t="s">
        <v>390</v>
      </c>
      <c r="P38" s="163" t="s">
        <v>391</v>
      </c>
      <c r="Q38" s="166">
        <v>752.9912576111836</v>
      </c>
      <c r="R38" s="209">
        <v>3993.5</v>
      </c>
      <c r="U38" s="163">
        <v>25</v>
      </c>
      <c r="W38" s="164" t="s">
        <v>392</v>
      </c>
      <c r="X38" s="166">
        <v>86593.99462528611</v>
      </c>
      <c r="Y38" s="168">
        <v>114.99999999999999</v>
      </c>
      <c r="Z38" s="166">
        <v>97888.86348945387</v>
      </c>
      <c r="AA38" s="168">
        <v>130</v>
      </c>
      <c r="AB38" s="169">
        <v>11294.868864167758</v>
      </c>
      <c r="AC38" s="210">
        <v>13.500000000000012</v>
      </c>
      <c r="AQ38" s="164" t="s">
        <v>393</v>
      </c>
      <c r="AR38" s="164" t="s">
        <v>393</v>
      </c>
      <c r="AV38" s="211" t="s">
        <v>393</v>
      </c>
    </row>
    <row r="39" spans="1:48" ht="12.75">
      <c r="A39" s="78" t="s">
        <v>89</v>
      </c>
      <c r="B39" t="s">
        <v>385</v>
      </c>
      <c r="C39" t="s">
        <v>386</v>
      </c>
      <c r="D39" t="s">
        <v>435</v>
      </c>
      <c r="E39" s="163" t="s">
        <v>436</v>
      </c>
      <c r="F39" s="164" t="s">
        <v>437</v>
      </c>
      <c r="H39" s="163" t="s">
        <v>388</v>
      </c>
      <c r="J39" s="165">
        <v>100</v>
      </c>
      <c r="L39" s="163"/>
      <c r="N39" s="164" t="s">
        <v>390</v>
      </c>
      <c r="P39" s="163" t="s">
        <v>391</v>
      </c>
      <c r="Q39" s="166">
        <v>352.22523464423926</v>
      </c>
      <c r="R39" s="209">
        <v>3993.5</v>
      </c>
      <c r="U39" s="163">
        <v>25</v>
      </c>
      <c r="W39" s="164" t="s">
        <v>392</v>
      </c>
      <c r="X39" s="166">
        <v>40505.90198408751</v>
      </c>
      <c r="Y39" s="168">
        <v>114.99999999999999</v>
      </c>
      <c r="Z39" s="166">
        <v>45789.280503751106</v>
      </c>
      <c r="AA39" s="168">
        <v>130</v>
      </c>
      <c r="AB39" s="169">
        <v>5283.3785196635945</v>
      </c>
      <c r="AC39" s="210">
        <v>13.500000000000012</v>
      </c>
      <c r="AQ39" s="164" t="s">
        <v>393</v>
      </c>
      <c r="AR39" s="164" t="s">
        <v>393</v>
      </c>
      <c r="AV39" s="211" t="s">
        <v>393</v>
      </c>
    </row>
    <row r="40" spans="1:48" ht="12.75">
      <c r="A40" s="78" t="s">
        <v>89</v>
      </c>
      <c r="B40" t="s">
        <v>385</v>
      </c>
      <c r="C40" t="s">
        <v>386</v>
      </c>
      <c r="D40" t="s">
        <v>435</v>
      </c>
      <c r="E40" s="163" t="s">
        <v>436</v>
      </c>
      <c r="F40" s="164" t="s">
        <v>437</v>
      </c>
      <c r="H40" s="163" t="s">
        <v>388</v>
      </c>
      <c r="J40" s="165">
        <v>250</v>
      </c>
      <c r="L40" s="163"/>
      <c r="N40" s="164" t="s">
        <v>390</v>
      </c>
      <c r="P40" s="163" t="s">
        <v>391</v>
      </c>
      <c r="Q40" s="166">
        <v>352.22523464423926</v>
      </c>
      <c r="R40" s="209">
        <v>9983.75</v>
      </c>
      <c r="U40" s="163">
        <v>25</v>
      </c>
      <c r="W40" s="164" t="s">
        <v>392</v>
      </c>
      <c r="X40" s="166">
        <v>101264.7549602188</v>
      </c>
      <c r="Y40" s="168">
        <v>287.5</v>
      </c>
      <c r="Z40" s="166">
        <v>114473.20125937776</v>
      </c>
      <c r="AA40" s="168">
        <v>325</v>
      </c>
      <c r="AB40" s="169">
        <v>13208.446299158968</v>
      </c>
      <c r="AC40" s="210">
        <v>33.75</v>
      </c>
      <c r="AQ40" s="164" t="s">
        <v>393</v>
      </c>
      <c r="AR40" s="164" t="s">
        <v>393</v>
      </c>
      <c r="AV40" s="211" t="s">
        <v>393</v>
      </c>
    </row>
    <row r="41" spans="1:48" ht="12.75">
      <c r="A41" s="78" t="s">
        <v>89</v>
      </c>
      <c r="B41" t="s">
        <v>385</v>
      </c>
      <c r="C41" t="s">
        <v>386</v>
      </c>
      <c r="D41" t="s">
        <v>435</v>
      </c>
      <c r="E41" s="163" t="s">
        <v>436</v>
      </c>
      <c r="F41" s="164" t="s">
        <v>437</v>
      </c>
      <c r="H41" s="163" t="s">
        <v>395</v>
      </c>
      <c r="J41" s="165">
        <v>250</v>
      </c>
      <c r="L41" s="163"/>
      <c r="N41" s="164" t="s">
        <v>390</v>
      </c>
      <c r="P41" s="163" t="s">
        <v>391</v>
      </c>
      <c r="Q41" s="166">
        <v>850.9805442126205</v>
      </c>
      <c r="R41" s="209">
        <v>9983.75</v>
      </c>
      <c r="U41" s="163">
        <v>25</v>
      </c>
      <c r="W41" s="164" t="s">
        <v>392</v>
      </c>
      <c r="X41" s="166">
        <v>244656.9064611284</v>
      </c>
      <c r="Y41" s="168">
        <v>287.5</v>
      </c>
      <c r="Z41" s="166">
        <v>276568.67686910165</v>
      </c>
      <c r="AA41" s="168">
        <v>325</v>
      </c>
      <c r="AB41" s="169">
        <v>31911.770407973236</v>
      </c>
      <c r="AC41" s="210">
        <v>33.75</v>
      </c>
      <c r="AQ41" s="164" t="s">
        <v>393</v>
      </c>
      <c r="AR41" s="164" t="s">
        <v>393</v>
      </c>
      <c r="AV41" s="211" t="s">
        <v>393</v>
      </c>
    </row>
    <row r="42" spans="1:48" ht="12.75">
      <c r="A42" s="78" t="s">
        <v>89</v>
      </c>
      <c r="B42" t="s">
        <v>385</v>
      </c>
      <c r="C42" t="s">
        <v>386</v>
      </c>
      <c r="D42" t="s">
        <v>435</v>
      </c>
      <c r="E42" s="163" t="s">
        <v>436</v>
      </c>
      <c r="F42" s="164" t="s">
        <v>437</v>
      </c>
      <c r="H42" s="163" t="s">
        <v>396</v>
      </c>
      <c r="J42" s="165">
        <v>250</v>
      </c>
      <c r="L42" s="163"/>
      <c r="N42" s="164" t="s">
        <v>390</v>
      </c>
      <c r="P42" s="163" t="s">
        <v>391</v>
      </c>
      <c r="Q42" s="166">
        <v>752.9912576111836</v>
      </c>
      <c r="R42" s="209">
        <v>9983.75</v>
      </c>
      <c r="U42" s="163">
        <v>25</v>
      </c>
      <c r="W42" s="164" t="s">
        <v>392</v>
      </c>
      <c r="X42" s="166">
        <v>216484.9865632153</v>
      </c>
      <c r="Y42" s="168">
        <v>287.5</v>
      </c>
      <c r="Z42" s="166">
        <v>244722.1587236347</v>
      </c>
      <c r="AA42" s="168">
        <v>325</v>
      </c>
      <c r="AB42" s="169">
        <v>28237.172160419403</v>
      </c>
      <c r="AC42" s="210">
        <v>33.75</v>
      </c>
      <c r="AQ42" s="164" t="s">
        <v>393</v>
      </c>
      <c r="AR42" s="164" t="s">
        <v>393</v>
      </c>
      <c r="AV42" s="211" t="s">
        <v>393</v>
      </c>
    </row>
  </sheetData>
  <sheetProtection/>
  <mergeCells count="6">
    <mergeCell ref="BB3:BH3"/>
    <mergeCell ref="BI3:BJ3"/>
    <mergeCell ref="B3:AP3"/>
    <mergeCell ref="AQ3:AR3"/>
    <mergeCell ref="AS3:AU3"/>
    <mergeCell ref="AV3:BA3"/>
  </mergeCell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2:CS19"/>
  <sheetViews>
    <sheetView zoomScalePageLayoutView="0" workbookViewId="0" topLeftCell="A1">
      <selection activeCell="I22" sqref="I22"/>
    </sheetView>
  </sheetViews>
  <sheetFormatPr defaultColWidth="9.140625" defaultRowHeight="12.75"/>
  <sheetData>
    <row r="2" spans="1:35" ht="135">
      <c r="A2" s="124" t="s">
        <v>331</v>
      </c>
      <c r="B2" s="125" t="s">
        <v>332</v>
      </c>
      <c r="C2" s="125" t="s">
        <v>333</v>
      </c>
      <c r="D2" s="125" t="s">
        <v>334</v>
      </c>
      <c r="E2" s="125" t="s">
        <v>335</v>
      </c>
      <c r="F2" s="125" t="s">
        <v>336</v>
      </c>
      <c r="G2" s="126" t="s">
        <v>337</v>
      </c>
      <c r="H2" s="125" t="s">
        <v>338</v>
      </c>
      <c r="I2" s="127" t="s">
        <v>339</v>
      </c>
      <c r="J2" s="127" t="s">
        <v>340</v>
      </c>
      <c r="K2" s="127" t="s">
        <v>341</v>
      </c>
      <c r="L2" s="125" t="s">
        <v>342</v>
      </c>
      <c r="M2" s="128" t="s">
        <v>343</v>
      </c>
      <c r="N2" s="129" t="s">
        <v>344</v>
      </c>
      <c r="O2" s="129" t="s">
        <v>345</v>
      </c>
      <c r="P2" s="130" t="s">
        <v>346</v>
      </c>
      <c r="Q2" s="127" t="s">
        <v>347</v>
      </c>
      <c r="R2" s="131" t="s">
        <v>348</v>
      </c>
      <c r="S2" s="132" t="s">
        <v>349</v>
      </c>
      <c r="T2" s="133" t="s">
        <v>350</v>
      </c>
      <c r="U2" s="134" t="s">
        <v>351</v>
      </c>
      <c r="V2" s="135" t="s">
        <v>352</v>
      </c>
      <c r="W2" s="135" t="s">
        <v>353</v>
      </c>
      <c r="X2" s="135" t="s">
        <v>354</v>
      </c>
      <c r="Y2" s="136" t="s">
        <v>355</v>
      </c>
      <c r="Z2" s="137" t="s">
        <v>356</v>
      </c>
      <c r="AA2" s="138" t="s">
        <v>357</v>
      </c>
      <c r="AB2" s="138" t="s">
        <v>358</v>
      </c>
      <c r="AC2" s="139" t="s">
        <v>359</v>
      </c>
      <c r="AD2" s="139" t="s">
        <v>360</v>
      </c>
      <c r="AE2" s="139" t="s">
        <v>361</v>
      </c>
      <c r="AF2" s="139" t="s">
        <v>362</v>
      </c>
      <c r="AG2" s="140" t="s">
        <v>363</v>
      </c>
      <c r="AH2" s="141" t="s">
        <v>364</v>
      </c>
      <c r="AI2" s="141" t="s">
        <v>365</v>
      </c>
    </row>
    <row r="3" spans="1:35" ht="67.5">
      <c r="A3" s="142">
        <v>85</v>
      </c>
      <c r="B3" s="143" t="s">
        <v>366</v>
      </c>
      <c r="C3" s="144" t="s">
        <v>367</v>
      </c>
      <c r="D3" s="145">
        <f>4.3*1000</f>
        <v>4300</v>
      </c>
      <c r="E3" s="144" t="s">
        <v>368</v>
      </c>
      <c r="F3" s="145">
        <f>4.71*1000</f>
        <v>4710</v>
      </c>
      <c r="G3" s="146">
        <v>20</v>
      </c>
      <c r="H3" s="147">
        <v>900</v>
      </c>
      <c r="I3" s="148">
        <v>360</v>
      </c>
      <c r="J3" s="148">
        <v>2418</v>
      </c>
      <c r="K3" s="148">
        <v>596</v>
      </c>
      <c r="L3" s="149">
        <v>0.0399</v>
      </c>
      <c r="M3" s="150">
        <f aca="true" t="shared" si="0" ref="M3:M9">I3/K3</f>
        <v>0.6040268456375839</v>
      </c>
      <c r="N3" s="151">
        <f aca="true" t="shared" si="1" ref="N3:N9">(K3)/(P3*L3)</f>
        <v>40.480605307306206</v>
      </c>
      <c r="O3" s="151">
        <f aca="true" t="shared" si="2" ref="O3:O9">(K3-I3)/(L3*P3)</f>
        <v>16.029232974034002</v>
      </c>
      <c r="P3" s="152">
        <f aca="true" t="shared" si="3" ref="P3:P9">(F3-D3)*H3/1000</f>
        <v>369</v>
      </c>
      <c r="Q3" s="153">
        <f aca="true" t="shared" si="4" ref="Q3:Q9">I3/P3</f>
        <v>0.975609756097561</v>
      </c>
      <c r="R3" s="153">
        <f aca="true" t="shared" si="5" ref="R3:R9">I3/(G3*P3)</f>
        <v>0.04878048780487805</v>
      </c>
      <c r="S3" s="154">
        <f aca="true" t="shared" si="6" ref="S3:S9">+((F3-D3)/1000)</f>
        <v>0.41</v>
      </c>
      <c r="T3" s="155">
        <v>0.33</v>
      </c>
      <c r="U3" s="155"/>
      <c r="V3" s="147"/>
      <c r="W3" s="147"/>
      <c r="X3" s="147">
        <f aca="true" t="shared" si="7" ref="X3:X9">P3*V3</f>
        <v>0</v>
      </c>
      <c r="Y3" s="147">
        <f aca="true" t="shared" si="8" ref="Y3:Y9">U3*V3</f>
        <v>0</v>
      </c>
      <c r="Z3" s="156">
        <v>0</v>
      </c>
      <c r="AA3" s="156">
        <v>0</v>
      </c>
      <c r="AB3" s="157"/>
      <c r="AC3" s="158"/>
      <c r="AD3" s="158"/>
      <c r="AE3" s="158"/>
      <c r="AF3" s="158"/>
      <c r="AG3" s="159"/>
      <c r="AH3" s="160">
        <v>0.7596</v>
      </c>
      <c r="AI3" s="147">
        <v>0</v>
      </c>
    </row>
    <row r="4" spans="1:35" ht="90">
      <c r="A4" s="142">
        <v>85</v>
      </c>
      <c r="B4" s="143" t="s">
        <v>369</v>
      </c>
      <c r="C4" s="144" t="s">
        <v>370</v>
      </c>
      <c r="D4" s="145">
        <f>7.79*1000</f>
        <v>7790</v>
      </c>
      <c r="E4" s="144" t="s">
        <v>371</v>
      </c>
      <c r="F4" s="145">
        <f>8.91*1000</f>
        <v>8910</v>
      </c>
      <c r="G4" s="146">
        <v>20</v>
      </c>
      <c r="H4" s="147">
        <v>900</v>
      </c>
      <c r="I4" s="148">
        <v>543</v>
      </c>
      <c r="J4" s="148">
        <v>4225</v>
      </c>
      <c r="K4" s="148">
        <v>657</v>
      </c>
      <c r="L4" s="149">
        <v>0.0399</v>
      </c>
      <c r="M4" s="150">
        <f t="shared" si="0"/>
        <v>0.8264840182648402</v>
      </c>
      <c r="N4" s="151">
        <f t="shared" si="1"/>
        <v>16.33548156104547</v>
      </c>
      <c r="O4" s="151">
        <f t="shared" si="2"/>
        <v>2.834467120181406</v>
      </c>
      <c r="P4" s="152">
        <f t="shared" si="3"/>
        <v>1008</v>
      </c>
      <c r="Q4" s="153">
        <f t="shared" si="4"/>
        <v>0.5386904761904762</v>
      </c>
      <c r="R4" s="153">
        <f t="shared" si="5"/>
        <v>0.02693452380952381</v>
      </c>
      <c r="S4" s="154">
        <f t="shared" si="6"/>
        <v>1.12</v>
      </c>
      <c r="T4" s="155">
        <v>0.91</v>
      </c>
      <c r="U4" s="155"/>
      <c r="V4" s="147"/>
      <c r="W4" s="147"/>
      <c r="X4" s="147">
        <f t="shared" si="7"/>
        <v>0</v>
      </c>
      <c r="Y4" s="147">
        <f t="shared" si="8"/>
        <v>0</v>
      </c>
      <c r="Z4" s="156">
        <v>0</v>
      </c>
      <c r="AA4" s="156">
        <v>0</v>
      </c>
      <c r="AB4" s="157"/>
      <c r="AC4" s="158"/>
      <c r="AD4" s="158"/>
      <c r="AE4" s="158"/>
      <c r="AF4" s="158"/>
      <c r="AG4" s="159"/>
      <c r="AH4" s="160">
        <v>0.7596</v>
      </c>
      <c r="AI4" s="147">
        <v>59</v>
      </c>
    </row>
    <row r="5" spans="1:35" ht="90">
      <c r="A5" s="142">
        <v>85</v>
      </c>
      <c r="B5" s="143" t="s">
        <v>372</v>
      </c>
      <c r="C5" s="146" t="s">
        <v>373</v>
      </c>
      <c r="D5" s="161">
        <f>15.71*1000</f>
        <v>15710</v>
      </c>
      <c r="E5" s="146" t="s">
        <v>374</v>
      </c>
      <c r="F5" s="161">
        <f>18.95*1000</f>
        <v>18950</v>
      </c>
      <c r="G5" s="162">
        <v>20</v>
      </c>
      <c r="H5" s="147">
        <v>900</v>
      </c>
      <c r="I5" s="148">
        <v>1146</v>
      </c>
      <c r="J5" s="148">
        <v>7825</v>
      </c>
      <c r="K5" s="148">
        <v>1564</v>
      </c>
      <c r="L5" s="149">
        <v>0.0399</v>
      </c>
      <c r="M5" s="150">
        <f t="shared" si="0"/>
        <v>0.7327365728900256</v>
      </c>
      <c r="N5" s="151">
        <f t="shared" si="1"/>
        <v>13.442385112300641</v>
      </c>
      <c r="O5" s="151">
        <f t="shared" si="2"/>
        <v>3.592657913645568</v>
      </c>
      <c r="P5" s="152">
        <f t="shared" si="3"/>
        <v>2916</v>
      </c>
      <c r="Q5" s="153">
        <f t="shared" si="4"/>
        <v>0.39300411522633744</v>
      </c>
      <c r="R5" s="153">
        <f t="shared" si="5"/>
        <v>0.01965020576131687</v>
      </c>
      <c r="S5" s="154">
        <f t="shared" si="6"/>
        <v>3.24</v>
      </c>
      <c r="T5" s="155">
        <v>2.62</v>
      </c>
      <c r="U5" s="155"/>
      <c r="V5" s="147"/>
      <c r="W5" s="147"/>
      <c r="X5" s="147">
        <f t="shared" si="7"/>
        <v>0</v>
      </c>
      <c r="Y5" s="147">
        <f t="shared" si="8"/>
        <v>0</v>
      </c>
      <c r="Z5" s="156">
        <v>0</v>
      </c>
      <c r="AA5" s="156">
        <v>0</v>
      </c>
      <c r="AB5" s="157"/>
      <c r="AC5" s="158"/>
      <c r="AD5" s="158"/>
      <c r="AE5" s="158"/>
      <c r="AF5" s="158"/>
      <c r="AG5" s="159"/>
      <c r="AH5" s="160">
        <v>0.7596</v>
      </c>
      <c r="AI5" s="147">
        <v>28</v>
      </c>
    </row>
    <row r="6" spans="1:35" ht="90">
      <c r="A6" s="142">
        <v>85</v>
      </c>
      <c r="B6" s="143" t="s">
        <v>375</v>
      </c>
      <c r="C6" s="146" t="s">
        <v>376</v>
      </c>
      <c r="D6" s="161">
        <f>28.68*1000</f>
        <v>28680</v>
      </c>
      <c r="E6" s="146" t="s">
        <v>377</v>
      </c>
      <c r="F6" s="161">
        <f>32.26*1000</f>
        <v>32259.999999999996</v>
      </c>
      <c r="G6" s="162">
        <v>20</v>
      </c>
      <c r="H6" s="147">
        <v>900</v>
      </c>
      <c r="I6" s="148">
        <v>1910</v>
      </c>
      <c r="J6" s="148">
        <v>11325</v>
      </c>
      <c r="K6" s="148">
        <v>2022</v>
      </c>
      <c r="L6" s="149">
        <v>0.0399</v>
      </c>
      <c r="M6" s="150">
        <f t="shared" si="0"/>
        <v>0.9446092977250248</v>
      </c>
      <c r="N6" s="151">
        <f t="shared" si="1"/>
        <v>15.728333870056908</v>
      </c>
      <c r="O6" s="151">
        <f t="shared" si="2"/>
        <v>0.8712034586777319</v>
      </c>
      <c r="P6" s="152">
        <f t="shared" si="3"/>
        <v>3221.999999999997</v>
      </c>
      <c r="Q6" s="153">
        <f t="shared" si="4"/>
        <v>0.5927995034140291</v>
      </c>
      <c r="R6" s="153">
        <f t="shared" si="5"/>
        <v>0.02963997517070146</v>
      </c>
      <c r="S6" s="154">
        <f t="shared" si="6"/>
        <v>3.5799999999999965</v>
      </c>
      <c r="T6" s="155">
        <v>2.89</v>
      </c>
      <c r="U6" s="155"/>
      <c r="V6" s="147"/>
      <c r="W6" s="147"/>
      <c r="X6" s="147">
        <f t="shared" si="7"/>
        <v>0</v>
      </c>
      <c r="Y6" s="147">
        <f t="shared" si="8"/>
        <v>0</v>
      </c>
      <c r="Z6" s="156">
        <v>0</v>
      </c>
      <c r="AA6" s="156">
        <v>0</v>
      </c>
      <c r="AB6" s="157"/>
      <c r="AC6" s="158"/>
      <c r="AD6" s="158"/>
      <c r="AE6" s="158"/>
      <c r="AF6" s="158"/>
      <c r="AG6" s="159"/>
      <c r="AH6" s="160">
        <v>0.7596</v>
      </c>
      <c r="AI6" s="147">
        <v>34</v>
      </c>
    </row>
    <row r="7" spans="1:35" ht="135">
      <c r="A7" s="142">
        <v>85</v>
      </c>
      <c r="B7" s="143" t="s">
        <v>378</v>
      </c>
      <c r="C7" s="146" t="s">
        <v>379</v>
      </c>
      <c r="D7" s="161">
        <f>115.51*1000</f>
        <v>115510</v>
      </c>
      <c r="E7" s="146" t="s">
        <v>380</v>
      </c>
      <c r="F7" s="161">
        <f>120*1000</f>
        <v>120000</v>
      </c>
      <c r="G7" s="162">
        <v>20</v>
      </c>
      <c r="H7" s="147">
        <v>900</v>
      </c>
      <c r="I7" s="148">
        <v>4500</v>
      </c>
      <c r="J7" s="148"/>
      <c r="K7" s="148">
        <v>9900</v>
      </c>
      <c r="L7" s="149">
        <v>0.0399</v>
      </c>
      <c r="M7" s="150">
        <f t="shared" si="0"/>
        <v>0.45454545454545453</v>
      </c>
      <c r="N7" s="151">
        <f t="shared" si="1"/>
        <v>61.400717830210276</v>
      </c>
      <c r="O7" s="151">
        <f t="shared" si="2"/>
        <v>33.49130063466015</v>
      </c>
      <c r="P7" s="152">
        <f t="shared" si="3"/>
        <v>4041</v>
      </c>
      <c r="Q7" s="153">
        <f t="shared" si="4"/>
        <v>1.1135857461024499</v>
      </c>
      <c r="R7" s="153">
        <f t="shared" si="5"/>
        <v>0.0556792873051225</v>
      </c>
      <c r="S7" s="154">
        <f t="shared" si="6"/>
        <v>4.49</v>
      </c>
      <c r="T7" s="155">
        <v>3.58</v>
      </c>
      <c r="U7" s="155"/>
      <c r="V7" s="147"/>
      <c r="W7" s="147"/>
      <c r="X7" s="147">
        <f t="shared" si="7"/>
        <v>0</v>
      </c>
      <c r="Y7" s="147">
        <f t="shared" si="8"/>
        <v>0</v>
      </c>
      <c r="Z7" s="156">
        <v>0</v>
      </c>
      <c r="AA7" s="156">
        <v>0</v>
      </c>
      <c r="AB7" s="157"/>
      <c r="AC7" s="158"/>
      <c r="AD7" s="158"/>
      <c r="AE7" s="158"/>
      <c r="AF7" s="158"/>
      <c r="AG7" s="159"/>
      <c r="AH7" s="160">
        <v>0.75</v>
      </c>
      <c r="AI7" s="147">
        <v>7</v>
      </c>
    </row>
    <row r="8" spans="1:35" ht="90">
      <c r="A8" s="142">
        <v>85</v>
      </c>
      <c r="B8" s="143" t="s">
        <v>381</v>
      </c>
      <c r="C8" s="144" t="s">
        <v>382</v>
      </c>
      <c r="D8" s="161">
        <f>4.06*1000</f>
        <v>4059.9999999999995</v>
      </c>
      <c r="E8" s="144" t="s">
        <v>383</v>
      </c>
      <c r="F8" s="161">
        <f>4.34*1000</f>
        <v>4340</v>
      </c>
      <c r="G8" s="162">
        <v>20</v>
      </c>
      <c r="H8" s="147">
        <v>900</v>
      </c>
      <c r="I8" s="148">
        <v>200</v>
      </c>
      <c r="J8" s="148"/>
      <c r="K8" s="148">
        <v>2000</v>
      </c>
      <c r="L8" s="149">
        <v>0.0399</v>
      </c>
      <c r="M8" s="150">
        <f t="shared" si="0"/>
        <v>0.1</v>
      </c>
      <c r="N8" s="151">
        <f t="shared" si="1"/>
        <v>198.90997334606325</v>
      </c>
      <c r="O8" s="151">
        <f t="shared" si="2"/>
        <v>179.0189760114569</v>
      </c>
      <c r="P8" s="152">
        <f t="shared" si="3"/>
        <v>252.0000000000004</v>
      </c>
      <c r="Q8" s="153">
        <f t="shared" si="4"/>
        <v>0.7936507936507924</v>
      </c>
      <c r="R8" s="153">
        <f t="shared" si="5"/>
        <v>0.03968253968253962</v>
      </c>
      <c r="S8" s="154">
        <f t="shared" si="6"/>
        <v>0.28000000000000047</v>
      </c>
      <c r="T8" s="155">
        <v>0.23</v>
      </c>
      <c r="U8" s="155"/>
      <c r="V8" s="147"/>
      <c r="W8" s="147"/>
      <c r="X8" s="147">
        <f t="shared" si="7"/>
        <v>0</v>
      </c>
      <c r="Y8" s="147">
        <f t="shared" si="8"/>
        <v>0</v>
      </c>
      <c r="Z8" s="156">
        <v>0</v>
      </c>
      <c r="AA8" s="156">
        <v>0</v>
      </c>
      <c r="AB8" s="157"/>
      <c r="AC8" s="158"/>
      <c r="AD8" s="158"/>
      <c r="AE8" s="158"/>
      <c r="AF8" s="158"/>
      <c r="AG8" s="159"/>
      <c r="AH8" s="160">
        <v>0.7596</v>
      </c>
      <c r="AI8" s="147">
        <v>11</v>
      </c>
    </row>
    <row r="9" spans="1:35" ht="56.25">
      <c r="A9" s="142">
        <v>85</v>
      </c>
      <c r="B9" s="143" t="s">
        <v>384</v>
      </c>
      <c r="C9" s="144" t="s">
        <v>367</v>
      </c>
      <c r="D9" s="145">
        <f>4.3*1000</f>
        <v>4300</v>
      </c>
      <c r="E9" s="144" t="s">
        <v>368</v>
      </c>
      <c r="F9" s="145">
        <f>4.71*1000</f>
        <v>4710</v>
      </c>
      <c r="G9" s="146">
        <v>20</v>
      </c>
      <c r="H9" s="147">
        <v>900</v>
      </c>
      <c r="I9" s="148">
        <v>360</v>
      </c>
      <c r="J9" s="148">
        <v>2418</v>
      </c>
      <c r="K9" s="148">
        <v>596</v>
      </c>
      <c r="L9" s="149">
        <v>0.0399</v>
      </c>
      <c r="M9" s="150">
        <f t="shared" si="0"/>
        <v>0.6040268456375839</v>
      </c>
      <c r="N9" s="151">
        <f t="shared" si="1"/>
        <v>40.480605307306206</v>
      </c>
      <c r="O9" s="151">
        <f t="shared" si="2"/>
        <v>16.029232974034002</v>
      </c>
      <c r="P9" s="152">
        <f t="shared" si="3"/>
        <v>369</v>
      </c>
      <c r="Q9" s="153">
        <f t="shared" si="4"/>
        <v>0.975609756097561</v>
      </c>
      <c r="R9" s="153">
        <f t="shared" si="5"/>
        <v>0.04878048780487805</v>
      </c>
      <c r="S9" s="154">
        <f t="shared" si="6"/>
        <v>0.41</v>
      </c>
      <c r="T9" s="155">
        <v>0.33</v>
      </c>
      <c r="U9" s="155"/>
      <c r="V9" s="147"/>
      <c r="W9" s="147"/>
      <c r="X9" s="147">
        <f t="shared" si="7"/>
        <v>0</v>
      </c>
      <c r="Y9" s="147">
        <f t="shared" si="8"/>
        <v>0</v>
      </c>
      <c r="Z9" s="156">
        <v>0</v>
      </c>
      <c r="AA9" s="156">
        <v>0</v>
      </c>
      <c r="AB9" s="157"/>
      <c r="AC9" s="158"/>
      <c r="AD9" s="158"/>
      <c r="AE9" s="158"/>
      <c r="AF9" s="158"/>
      <c r="AG9" s="159"/>
      <c r="AH9" s="160">
        <v>0.7596</v>
      </c>
      <c r="AI9" s="147">
        <v>35</v>
      </c>
    </row>
    <row r="11" spans="1:39" s="180" customFormat="1" ht="165">
      <c r="A11" s="124" t="s">
        <v>331</v>
      </c>
      <c r="B11" s="125" t="s">
        <v>332</v>
      </c>
      <c r="C11" s="125" t="s">
        <v>333</v>
      </c>
      <c r="D11" s="125" t="s">
        <v>334</v>
      </c>
      <c r="E11" s="125" t="s">
        <v>335</v>
      </c>
      <c r="F11" s="125" t="s">
        <v>336</v>
      </c>
      <c r="G11" s="126" t="s">
        <v>337</v>
      </c>
      <c r="H11" s="125" t="s">
        <v>338</v>
      </c>
      <c r="I11" s="127" t="s">
        <v>339</v>
      </c>
      <c r="J11" s="127" t="s">
        <v>340</v>
      </c>
      <c r="K11" s="127" t="s">
        <v>341</v>
      </c>
      <c r="L11" s="125" t="s">
        <v>342</v>
      </c>
      <c r="M11" s="128" t="s">
        <v>343</v>
      </c>
      <c r="N11" s="129" t="s">
        <v>344</v>
      </c>
      <c r="O11" s="129" t="s">
        <v>345</v>
      </c>
      <c r="P11" s="130" t="s">
        <v>346</v>
      </c>
      <c r="Q11" s="127" t="s">
        <v>347</v>
      </c>
      <c r="R11" s="131" t="s">
        <v>348</v>
      </c>
      <c r="S11" s="132" t="s">
        <v>349</v>
      </c>
      <c r="T11" s="133" t="s">
        <v>350</v>
      </c>
      <c r="U11" s="134" t="s">
        <v>351</v>
      </c>
      <c r="V11" s="135" t="s">
        <v>352</v>
      </c>
      <c r="W11" s="135" t="s">
        <v>353</v>
      </c>
      <c r="X11" s="135" t="s">
        <v>354</v>
      </c>
      <c r="Y11" s="136" t="s">
        <v>355</v>
      </c>
      <c r="Z11" s="137" t="s">
        <v>356</v>
      </c>
      <c r="AA11" s="138" t="s">
        <v>357</v>
      </c>
      <c r="AB11" s="138" t="s">
        <v>358</v>
      </c>
      <c r="AC11" s="139" t="s">
        <v>359</v>
      </c>
      <c r="AD11" s="139" t="s">
        <v>360</v>
      </c>
      <c r="AE11" s="139" t="s">
        <v>361</v>
      </c>
      <c r="AF11" s="139" t="s">
        <v>362</v>
      </c>
      <c r="AG11" s="140" t="s">
        <v>363</v>
      </c>
      <c r="AH11" s="141" t="s">
        <v>364</v>
      </c>
      <c r="AI11" s="141" t="s">
        <v>365</v>
      </c>
      <c r="AJ11" s="177"/>
      <c r="AK11" s="177"/>
      <c r="AL11" s="178"/>
      <c r="AM11" s="179" t="s">
        <v>412</v>
      </c>
    </row>
    <row r="12" spans="1:97" s="186" customFormat="1" ht="40.5" customHeight="1">
      <c r="A12" s="142" t="s">
        <v>413</v>
      </c>
      <c r="B12" s="181" t="s">
        <v>61</v>
      </c>
      <c r="C12" s="146" t="s">
        <v>414</v>
      </c>
      <c r="D12" s="161">
        <v>1090</v>
      </c>
      <c r="E12" s="146" t="s">
        <v>415</v>
      </c>
      <c r="F12" s="161">
        <v>1440</v>
      </c>
      <c r="G12" s="162">
        <v>20</v>
      </c>
      <c r="H12" s="147">
        <v>900</v>
      </c>
      <c r="I12" s="148">
        <v>20</v>
      </c>
      <c r="J12" s="148"/>
      <c r="K12" s="148">
        <v>50</v>
      </c>
      <c r="L12" s="149">
        <v>0.039904</v>
      </c>
      <c r="M12" s="150">
        <v>0.4</v>
      </c>
      <c r="N12" s="151">
        <v>3.9778006899097513</v>
      </c>
      <c r="O12" s="151">
        <v>2.386680413945851</v>
      </c>
      <c r="P12" s="152">
        <v>315</v>
      </c>
      <c r="Q12" s="153">
        <v>0.06349206349206349</v>
      </c>
      <c r="R12" s="153">
        <v>0.0031746031746031746</v>
      </c>
      <c r="S12" s="154">
        <v>0.35</v>
      </c>
      <c r="T12" s="155">
        <v>0.28282978723404256</v>
      </c>
      <c r="U12" s="155"/>
      <c r="V12" s="147"/>
      <c r="W12" s="147"/>
      <c r="X12" s="147">
        <v>0</v>
      </c>
      <c r="Y12" s="147">
        <v>0</v>
      </c>
      <c r="Z12" s="156">
        <v>0</v>
      </c>
      <c r="AA12" s="156">
        <v>0</v>
      </c>
      <c r="AB12" s="157"/>
      <c r="AC12" s="158"/>
      <c r="AD12" s="158"/>
      <c r="AE12" s="158"/>
      <c r="AF12" s="158"/>
      <c r="AG12" s="159"/>
      <c r="AH12" s="160">
        <v>0.7596</v>
      </c>
      <c r="AI12" s="147">
        <v>40</v>
      </c>
      <c r="AJ12" s="182">
        <v>40</v>
      </c>
      <c r="AK12" s="183" t="e">
        <v>#DIV/0!</v>
      </c>
      <c r="AL12" s="184"/>
      <c r="AM12" s="184"/>
      <c r="AN12" s="185"/>
      <c r="AO12" s="185"/>
      <c r="AP12" s="157"/>
      <c r="AQ12" s="157"/>
      <c r="AR12" s="157"/>
      <c r="AS12" s="936" t="s">
        <v>416</v>
      </c>
      <c r="AT12" s="936"/>
      <c r="AU12" s="936"/>
      <c r="AV12" s="936"/>
      <c r="AW12" s="936"/>
      <c r="AX12" s="936"/>
      <c r="AY12" s="936"/>
      <c r="AZ12" s="936"/>
      <c r="BA12" s="936"/>
      <c r="BB12" s="936"/>
      <c r="BC12" s="936"/>
      <c r="BD12" s="936"/>
      <c r="BE12" s="936"/>
      <c r="BF12" s="936"/>
      <c r="BG12" s="936"/>
      <c r="BH12" s="936"/>
      <c r="BI12" s="936"/>
      <c r="BJ12" s="936"/>
      <c r="BK12" s="936"/>
      <c r="BL12" s="936"/>
      <c r="BM12" s="936"/>
      <c r="BN12" s="936"/>
      <c r="BO12" s="936"/>
      <c r="BP12" s="936"/>
      <c r="BQ12" s="936"/>
      <c r="BR12" s="936"/>
      <c r="BS12" s="936"/>
      <c r="BT12" s="936"/>
      <c r="BU12" s="937"/>
      <c r="BV12" s="185"/>
      <c r="BW12" s="185"/>
      <c r="BX12" s="185"/>
      <c r="BY12" s="185"/>
      <c r="BZ12" s="185"/>
      <c r="CA12" s="185"/>
      <c r="CB12" s="185"/>
      <c r="CC12" s="185"/>
      <c r="CD12" s="185"/>
      <c r="CE12" s="185"/>
      <c r="CF12" s="185"/>
      <c r="CG12" s="185"/>
      <c r="CH12" s="185"/>
      <c r="CI12" s="185"/>
      <c r="CJ12" s="185"/>
      <c r="CK12" s="185"/>
      <c r="CL12" s="185"/>
      <c r="CM12" s="185"/>
      <c r="CN12" s="185"/>
      <c r="CO12" s="185"/>
      <c r="CP12" s="185"/>
      <c r="CQ12" s="185"/>
      <c r="CR12" s="185"/>
      <c r="CS12" s="185"/>
    </row>
    <row r="14" spans="1:39" ht="78.75">
      <c r="A14" s="187" t="s">
        <v>331</v>
      </c>
      <c r="B14" s="188" t="s">
        <v>332</v>
      </c>
      <c r="C14" s="188" t="s">
        <v>333</v>
      </c>
      <c r="D14" s="188" t="s">
        <v>334</v>
      </c>
      <c r="E14" s="188" t="s">
        <v>335</v>
      </c>
      <c r="F14" s="188" t="s">
        <v>336</v>
      </c>
      <c r="G14" s="189" t="s">
        <v>337</v>
      </c>
      <c r="H14" s="188" t="s">
        <v>338</v>
      </c>
      <c r="I14" s="190" t="s">
        <v>339</v>
      </c>
      <c r="J14" s="190" t="s">
        <v>340</v>
      </c>
      <c r="K14" s="190" t="s">
        <v>341</v>
      </c>
      <c r="L14" s="188" t="s">
        <v>342</v>
      </c>
      <c r="M14" s="191" t="s">
        <v>343</v>
      </c>
      <c r="N14" s="192" t="s">
        <v>344</v>
      </c>
      <c r="O14" s="192" t="s">
        <v>345</v>
      </c>
      <c r="P14" s="193" t="s">
        <v>346</v>
      </c>
      <c r="Q14" s="190" t="s">
        <v>347</v>
      </c>
      <c r="R14" s="194" t="s">
        <v>348</v>
      </c>
      <c r="S14" s="195" t="s">
        <v>349</v>
      </c>
      <c r="T14" s="196" t="s">
        <v>350</v>
      </c>
      <c r="U14" s="197" t="s">
        <v>351</v>
      </c>
      <c r="V14" s="198" t="s">
        <v>352</v>
      </c>
      <c r="W14" s="198" t="s">
        <v>353</v>
      </c>
      <c r="X14" s="198" t="s">
        <v>354</v>
      </c>
      <c r="Y14" s="199" t="s">
        <v>355</v>
      </c>
      <c r="Z14" s="200" t="s">
        <v>356</v>
      </c>
      <c r="AA14" s="201" t="s">
        <v>357</v>
      </c>
      <c r="AB14" s="201" t="s">
        <v>358</v>
      </c>
      <c r="AC14" s="202" t="s">
        <v>359</v>
      </c>
      <c r="AD14" s="202" t="s">
        <v>360</v>
      </c>
      <c r="AE14" s="202" t="s">
        <v>361</v>
      </c>
      <c r="AF14" s="202" t="s">
        <v>362</v>
      </c>
      <c r="AG14" s="203" t="s">
        <v>363</v>
      </c>
      <c r="AH14" s="204" t="s">
        <v>364</v>
      </c>
      <c r="AI14" s="204" t="s">
        <v>365</v>
      </c>
      <c r="AJ14" s="205"/>
      <c r="AK14" s="205"/>
      <c r="AL14" s="206"/>
      <c r="AM14" s="207" t="s">
        <v>412</v>
      </c>
    </row>
    <row r="15" spans="1:97" s="186" customFormat="1" ht="78.75">
      <c r="A15" s="142" t="s">
        <v>413</v>
      </c>
      <c r="B15" s="208" t="s">
        <v>417</v>
      </c>
      <c r="C15" s="146" t="s">
        <v>418</v>
      </c>
      <c r="D15" s="161">
        <v>162680</v>
      </c>
      <c r="E15" s="146" t="s">
        <v>419</v>
      </c>
      <c r="F15" s="161">
        <v>190200</v>
      </c>
      <c r="G15" s="162">
        <v>20</v>
      </c>
      <c r="H15" s="147">
        <v>2678</v>
      </c>
      <c r="I15" s="148">
        <v>5692</v>
      </c>
      <c r="J15" s="148"/>
      <c r="K15" s="148">
        <v>17349</v>
      </c>
      <c r="L15" s="149">
        <v>0.039904</v>
      </c>
      <c r="M15" s="150">
        <v>0.3280880742405902</v>
      </c>
      <c r="N15" s="151">
        <v>5.899280043819567</v>
      </c>
      <c r="O15" s="151">
        <v>3.96379661483686</v>
      </c>
      <c r="P15" s="152">
        <v>73698.56</v>
      </c>
      <c r="Q15" s="153">
        <v>0.07723353075012591</v>
      </c>
      <c r="R15" s="153">
        <v>0.003861676537506296</v>
      </c>
      <c r="S15" s="154">
        <v>27.52</v>
      </c>
      <c r="T15" s="155">
        <v>22.23850212765958</v>
      </c>
      <c r="U15" s="155"/>
      <c r="V15" s="147"/>
      <c r="W15" s="147"/>
      <c r="X15" s="147">
        <v>0</v>
      </c>
      <c r="Y15" s="147">
        <v>0</v>
      </c>
      <c r="Z15" s="156">
        <v>0</v>
      </c>
      <c r="AA15" s="156">
        <v>0</v>
      </c>
      <c r="AB15" s="157"/>
      <c r="AC15" s="158"/>
      <c r="AD15" s="158"/>
      <c r="AE15" s="158"/>
      <c r="AF15" s="158"/>
      <c r="AG15" s="159"/>
      <c r="AH15" s="160">
        <v>0.7596</v>
      </c>
      <c r="AI15" s="147">
        <v>3</v>
      </c>
      <c r="AJ15" s="182">
        <v>3</v>
      </c>
      <c r="AK15" s="183" t="e">
        <v>#DIV/0!</v>
      </c>
      <c r="AL15" s="184"/>
      <c r="AM15" s="184"/>
      <c r="AN15" s="185"/>
      <c r="AO15" s="185"/>
      <c r="AP15" s="157"/>
      <c r="AQ15" s="157"/>
      <c r="AR15" s="157"/>
      <c r="AS15" s="936" t="s">
        <v>420</v>
      </c>
      <c r="AT15" s="936"/>
      <c r="AU15" s="936"/>
      <c r="AV15" s="936"/>
      <c r="AW15" s="936"/>
      <c r="AX15" s="936"/>
      <c r="AY15" s="936"/>
      <c r="AZ15" s="936"/>
      <c r="BA15" s="936"/>
      <c r="BB15" s="936"/>
      <c r="BC15" s="936"/>
      <c r="BD15" s="936"/>
      <c r="BE15" s="936"/>
      <c r="BF15" s="936"/>
      <c r="BG15" s="936"/>
      <c r="BH15" s="936"/>
      <c r="BI15" s="936"/>
      <c r="BJ15" s="936"/>
      <c r="BK15" s="936"/>
      <c r="BL15" s="936"/>
      <c r="BM15" s="936"/>
      <c r="BN15" s="936"/>
      <c r="BO15" s="936"/>
      <c r="BP15" s="936"/>
      <c r="BQ15" s="936"/>
      <c r="BR15" s="936"/>
      <c r="BS15" s="936"/>
      <c r="BT15" s="936"/>
      <c r="BU15" s="937"/>
      <c r="BV15" s="185"/>
      <c r="BW15" s="185"/>
      <c r="BX15" s="185"/>
      <c r="BY15" s="185"/>
      <c r="BZ15" s="185"/>
      <c r="CA15" s="185"/>
      <c r="CB15" s="185"/>
      <c r="CC15" s="185"/>
      <c r="CD15" s="185"/>
      <c r="CE15" s="185"/>
      <c r="CF15" s="185"/>
      <c r="CG15" s="185"/>
      <c r="CH15" s="185"/>
      <c r="CI15" s="185"/>
      <c r="CJ15" s="185"/>
      <c r="CK15" s="185"/>
      <c r="CL15" s="185"/>
      <c r="CM15" s="185"/>
      <c r="CN15" s="185"/>
      <c r="CO15" s="185"/>
      <c r="CP15" s="185"/>
      <c r="CQ15" s="185"/>
      <c r="CR15" s="185"/>
      <c r="CS15" s="185"/>
    </row>
    <row r="16" spans="1:97" s="186" customFormat="1" ht="67.5">
      <c r="A16" s="142" t="s">
        <v>413</v>
      </c>
      <c r="B16" s="208" t="s">
        <v>421</v>
      </c>
      <c r="C16" s="146" t="s">
        <v>422</v>
      </c>
      <c r="D16" s="161">
        <v>261750</v>
      </c>
      <c r="E16" s="146" t="s">
        <v>423</v>
      </c>
      <c r="F16" s="161">
        <v>288000</v>
      </c>
      <c r="G16" s="162">
        <v>20</v>
      </c>
      <c r="H16" s="147">
        <v>2678</v>
      </c>
      <c r="I16" s="148">
        <v>10192</v>
      </c>
      <c r="J16" s="148"/>
      <c r="K16" s="148">
        <v>23867</v>
      </c>
      <c r="L16" s="149">
        <v>0.039904</v>
      </c>
      <c r="M16" s="150">
        <v>0.4270331419952235</v>
      </c>
      <c r="N16" s="151">
        <v>8.508275046997106</v>
      </c>
      <c r="O16" s="151">
        <v>4.874959620718373</v>
      </c>
      <c r="P16" s="152">
        <v>70297.5</v>
      </c>
      <c r="Q16" s="153">
        <v>0.14498381877022654</v>
      </c>
      <c r="R16" s="153">
        <v>0.007249190938511327</v>
      </c>
      <c r="S16" s="154">
        <v>26.25</v>
      </c>
      <c r="T16" s="155">
        <v>21.212234042553195</v>
      </c>
      <c r="U16" s="155"/>
      <c r="V16" s="147"/>
      <c r="W16" s="147"/>
      <c r="X16" s="147">
        <v>0</v>
      </c>
      <c r="Y16" s="147">
        <v>0</v>
      </c>
      <c r="Z16" s="156">
        <v>0</v>
      </c>
      <c r="AA16" s="156">
        <v>0</v>
      </c>
      <c r="AB16" s="157"/>
      <c r="AC16" s="158"/>
      <c r="AD16" s="158"/>
      <c r="AE16" s="158"/>
      <c r="AF16" s="158"/>
      <c r="AG16" s="159"/>
      <c r="AH16" s="160">
        <v>0.7596</v>
      </c>
      <c r="AI16" s="147">
        <v>18</v>
      </c>
      <c r="AJ16" s="182">
        <v>18</v>
      </c>
      <c r="AK16" s="183" t="e">
        <v>#DIV/0!</v>
      </c>
      <c r="AL16" s="184"/>
      <c r="AM16" s="184"/>
      <c r="AN16" s="185"/>
      <c r="AO16" s="185"/>
      <c r="AP16" s="157"/>
      <c r="AQ16" s="157"/>
      <c r="AR16" s="157"/>
      <c r="AS16" s="936" t="s">
        <v>420</v>
      </c>
      <c r="AT16" s="936"/>
      <c r="AU16" s="936"/>
      <c r="AV16" s="936"/>
      <c r="AW16" s="936"/>
      <c r="AX16" s="936"/>
      <c r="AY16" s="936"/>
      <c r="AZ16" s="936"/>
      <c r="BA16" s="936"/>
      <c r="BB16" s="936"/>
      <c r="BC16" s="936"/>
      <c r="BD16" s="936"/>
      <c r="BE16" s="936"/>
      <c r="BF16" s="936"/>
      <c r="BG16" s="936"/>
      <c r="BH16" s="936"/>
      <c r="BI16" s="936"/>
      <c r="BJ16" s="936"/>
      <c r="BK16" s="936"/>
      <c r="BL16" s="936"/>
      <c r="BM16" s="936"/>
      <c r="BN16" s="936"/>
      <c r="BO16" s="936"/>
      <c r="BP16" s="936"/>
      <c r="BQ16" s="936"/>
      <c r="BR16" s="936"/>
      <c r="BS16" s="936"/>
      <c r="BT16" s="936"/>
      <c r="BU16" s="937"/>
      <c r="BV16" s="185"/>
      <c r="BW16" s="185"/>
      <c r="BX16" s="185"/>
      <c r="BY16" s="185"/>
      <c r="BZ16" s="185"/>
      <c r="CA16" s="185"/>
      <c r="CB16" s="185"/>
      <c r="CC16" s="185"/>
      <c r="CD16" s="185"/>
      <c r="CE16" s="185"/>
      <c r="CF16" s="185"/>
      <c r="CG16" s="185"/>
      <c r="CH16" s="185"/>
      <c r="CI16" s="185"/>
      <c r="CJ16" s="185"/>
      <c r="CK16" s="185"/>
      <c r="CL16" s="185"/>
      <c r="CM16" s="185"/>
      <c r="CN16" s="185"/>
      <c r="CO16" s="185"/>
      <c r="CP16" s="185"/>
      <c r="CQ16" s="185"/>
      <c r="CR16" s="185"/>
      <c r="CS16" s="185"/>
    </row>
    <row r="18" spans="1:39" ht="78.75">
      <c r="A18" s="187" t="s">
        <v>331</v>
      </c>
      <c r="B18" s="188" t="s">
        <v>332</v>
      </c>
      <c r="C18" s="188" t="s">
        <v>333</v>
      </c>
      <c r="D18" s="188" t="s">
        <v>334</v>
      </c>
      <c r="E18" s="188" t="s">
        <v>335</v>
      </c>
      <c r="F18" s="188" t="s">
        <v>336</v>
      </c>
      <c r="G18" s="189" t="s">
        <v>337</v>
      </c>
      <c r="H18" s="188" t="s">
        <v>338</v>
      </c>
      <c r="I18" s="190" t="s">
        <v>339</v>
      </c>
      <c r="J18" s="190" t="s">
        <v>340</v>
      </c>
      <c r="K18" s="190" t="s">
        <v>341</v>
      </c>
      <c r="L18" s="188" t="s">
        <v>342</v>
      </c>
      <c r="M18" s="191" t="s">
        <v>343</v>
      </c>
      <c r="N18" s="192" t="s">
        <v>344</v>
      </c>
      <c r="O18" s="192" t="s">
        <v>345</v>
      </c>
      <c r="P18" s="193" t="s">
        <v>346</v>
      </c>
      <c r="Q18" s="190" t="s">
        <v>347</v>
      </c>
      <c r="R18" s="194" t="s">
        <v>348</v>
      </c>
      <c r="S18" s="195" t="s">
        <v>349</v>
      </c>
      <c r="T18" s="196" t="s">
        <v>350</v>
      </c>
      <c r="U18" s="197" t="s">
        <v>351</v>
      </c>
      <c r="V18" s="198" t="s">
        <v>352</v>
      </c>
      <c r="W18" s="198" t="s">
        <v>353</v>
      </c>
      <c r="X18" s="198" t="s">
        <v>354</v>
      </c>
      <c r="Y18" s="199" t="s">
        <v>355</v>
      </c>
      <c r="Z18" s="200" t="s">
        <v>356</v>
      </c>
      <c r="AA18" s="201" t="s">
        <v>357</v>
      </c>
      <c r="AB18" s="201" t="s">
        <v>358</v>
      </c>
      <c r="AC18" s="202" t="s">
        <v>359</v>
      </c>
      <c r="AD18" s="202" t="s">
        <v>360</v>
      </c>
      <c r="AE18" s="202" t="s">
        <v>361</v>
      </c>
      <c r="AF18" s="202" t="s">
        <v>362</v>
      </c>
      <c r="AG18" s="203" t="s">
        <v>363</v>
      </c>
      <c r="AH18" s="204" t="s">
        <v>364</v>
      </c>
      <c r="AI18" s="204" t="s">
        <v>365</v>
      </c>
      <c r="AJ18" s="205"/>
      <c r="AK18" s="205"/>
      <c r="AL18" s="206"/>
      <c r="AM18" s="207" t="s">
        <v>412</v>
      </c>
    </row>
    <row r="19" spans="1:97" s="186" customFormat="1" ht="67.5">
      <c r="A19" s="142" t="s">
        <v>413</v>
      </c>
      <c r="B19" s="143" t="s">
        <v>431</v>
      </c>
      <c r="C19" s="146" t="s">
        <v>432</v>
      </c>
      <c r="D19" s="161">
        <v>287500</v>
      </c>
      <c r="E19" s="146" t="s">
        <v>433</v>
      </c>
      <c r="F19" s="161">
        <v>315000</v>
      </c>
      <c r="G19" s="162">
        <v>20</v>
      </c>
      <c r="H19" s="147">
        <v>900</v>
      </c>
      <c r="I19" s="148">
        <v>4000</v>
      </c>
      <c r="J19" s="148"/>
      <c r="K19" s="148">
        <v>8607.5</v>
      </c>
      <c r="L19" s="149">
        <v>0.039904</v>
      </c>
      <c r="M19" s="150">
        <v>0.46471100784199826</v>
      </c>
      <c r="N19" s="151">
        <v>8.715361311592266</v>
      </c>
      <c r="O19" s="151">
        <v>4.665236972775064</v>
      </c>
      <c r="P19" s="152">
        <v>24750</v>
      </c>
      <c r="Q19" s="153">
        <v>0.16161616161616163</v>
      </c>
      <c r="R19" s="153">
        <v>0.00808080808080808</v>
      </c>
      <c r="S19" s="154">
        <v>27.5</v>
      </c>
      <c r="T19" s="155">
        <v>21.94148936170213</v>
      </c>
      <c r="U19" s="155"/>
      <c r="V19" s="147"/>
      <c r="W19" s="147"/>
      <c r="X19" s="147">
        <v>0</v>
      </c>
      <c r="Y19" s="147">
        <v>0</v>
      </c>
      <c r="Z19" s="156">
        <v>0</v>
      </c>
      <c r="AA19" s="156">
        <v>0</v>
      </c>
      <c r="AB19" s="157"/>
      <c r="AC19" s="158"/>
      <c r="AD19" s="158"/>
      <c r="AE19" s="158"/>
      <c r="AF19" s="158"/>
      <c r="AG19" s="159"/>
      <c r="AH19" s="160">
        <v>0.75</v>
      </c>
      <c r="AI19" s="147">
        <v>15</v>
      </c>
      <c r="AJ19" s="182">
        <v>15</v>
      </c>
      <c r="AK19" s="183" t="e">
        <v>#DIV/0!</v>
      </c>
      <c r="AL19" s="184"/>
      <c r="AM19" s="184"/>
      <c r="AN19" s="185"/>
      <c r="AO19" s="185"/>
      <c r="AP19" s="157"/>
      <c r="AQ19" s="157"/>
      <c r="AR19" s="157"/>
      <c r="AS19" s="936" t="s">
        <v>434</v>
      </c>
      <c r="AT19" s="936"/>
      <c r="AU19" s="936"/>
      <c r="AV19" s="936"/>
      <c r="AW19" s="936"/>
      <c r="AX19" s="936"/>
      <c r="AY19" s="936"/>
      <c r="AZ19" s="936"/>
      <c r="BA19" s="936"/>
      <c r="BB19" s="936"/>
      <c r="BC19" s="936"/>
      <c r="BD19" s="936"/>
      <c r="BE19" s="936"/>
      <c r="BF19" s="936"/>
      <c r="BG19" s="936"/>
      <c r="BH19" s="936"/>
      <c r="BI19" s="936"/>
      <c r="BJ19" s="936"/>
      <c r="BK19" s="936"/>
      <c r="BL19" s="936"/>
      <c r="BM19" s="936"/>
      <c r="BN19" s="936"/>
      <c r="BO19" s="936"/>
      <c r="BP19" s="936"/>
      <c r="BQ19" s="936"/>
      <c r="BR19" s="936"/>
      <c r="BS19" s="936"/>
      <c r="BT19" s="936"/>
      <c r="BU19" s="937"/>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row>
  </sheetData>
  <sheetProtection/>
  <mergeCells count="4">
    <mergeCell ref="AS12:BU12"/>
    <mergeCell ref="AS15:BU15"/>
    <mergeCell ref="AS16:BU16"/>
    <mergeCell ref="AS19:BU19"/>
  </mergeCell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B3:L152"/>
  <sheetViews>
    <sheetView zoomScale="80" zoomScaleNormal="80" zoomScalePageLayoutView="0" workbookViewId="0" topLeftCell="A1">
      <selection activeCell="B4" sqref="B4:B152"/>
    </sheetView>
  </sheetViews>
  <sheetFormatPr defaultColWidth="9.140625" defaultRowHeight="12.75"/>
  <cols>
    <col min="2" max="2" width="15.00390625" style="259" customWidth="1"/>
    <col min="3" max="3" width="8.57421875" style="0" customWidth="1"/>
    <col min="4" max="4" width="12.28125" style="0" bestFit="1" customWidth="1"/>
    <col min="5" max="5" width="8.00390625" style="0" bestFit="1" customWidth="1"/>
    <col min="7" max="7" width="23.140625" style="0" bestFit="1" customWidth="1"/>
    <col min="8" max="8" width="28.421875" style="0" bestFit="1" customWidth="1"/>
    <col min="9" max="9" width="28.140625" style="80" customWidth="1"/>
    <col min="10" max="10" width="21.7109375" style="0" customWidth="1"/>
    <col min="11" max="11" width="15.8515625" style="0" bestFit="1" customWidth="1"/>
    <col min="12" max="12" width="18.140625" style="0" bestFit="1" customWidth="1"/>
    <col min="13" max="13" width="15.8515625" style="0" bestFit="1" customWidth="1"/>
    <col min="14" max="14" width="16.00390625" style="0" bestFit="1" customWidth="1"/>
    <col min="16" max="16" width="14.28125" style="0" customWidth="1"/>
    <col min="19" max="19" width="16.00390625" style="0" bestFit="1" customWidth="1"/>
  </cols>
  <sheetData>
    <row r="3" spans="2:12" s="83" customFormat="1" ht="12.75">
      <c r="B3" s="257" t="s">
        <v>215</v>
      </c>
      <c r="C3" s="82" t="s">
        <v>226</v>
      </c>
      <c r="D3" s="83" t="s">
        <v>227</v>
      </c>
      <c r="E3" s="83" t="s">
        <v>216</v>
      </c>
      <c r="F3" s="83" t="s">
        <v>234</v>
      </c>
      <c r="G3" s="83" t="s">
        <v>217</v>
      </c>
      <c r="H3" s="83" t="s">
        <v>218</v>
      </c>
      <c r="I3" s="83" t="s">
        <v>228</v>
      </c>
      <c r="J3" s="83" t="s">
        <v>219</v>
      </c>
      <c r="K3" s="83" t="s">
        <v>230</v>
      </c>
      <c r="L3" s="83" t="s">
        <v>232</v>
      </c>
    </row>
    <row r="4" spans="2:12" ht="12.75">
      <c r="B4" s="258" t="s">
        <v>235</v>
      </c>
      <c r="C4" s="79" t="s">
        <v>224</v>
      </c>
      <c r="D4" s="79" t="s">
        <v>135</v>
      </c>
      <c r="E4">
        <v>1</v>
      </c>
      <c r="F4">
        <v>0.5</v>
      </c>
      <c r="G4" s="78" t="s">
        <v>541</v>
      </c>
      <c r="H4" s="79" t="s">
        <v>131</v>
      </c>
      <c r="I4" s="78">
        <v>14</v>
      </c>
      <c r="J4">
        <v>620</v>
      </c>
      <c r="K4">
        <v>25</v>
      </c>
      <c r="L4">
        <v>4</v>
      </c>
    </row>
    <row r="5" spans="2:12" ht="12.75">
      <c r="B5" s="256">
        <v>5.4</v>
      </c>
      <c r="C5" s="78">
        <v>150</v>
      </c>
      <c r="D5" s="80">
        <v>8.1</v>
      </c>
      <c r="E5">
        <v>2</v>
      </c>
      <c r="F5">
        <v>0.55</v>
      </c>
      <c r="G5" s="78" t="s">
        <v>206</v>
      </c>
      <c r="H5" s="79" t="s">
        <v>132</v>
      </c>
      <c r="I5" s="78">
        <v>10.3</v>
      </c>
      <c r="J5">
        <v>580</v>
      </c>
      <c r="K5">
        <v>20</v>
      </c>
      <c r="L5">
        <v>1</v>
      </c>
    </row>
    <row r="6" spans="2:10" ht="12.75">
      <c r="B6" s="256">
        <v>5.5</v>
      </c>
      <c r="C6">
        <v>175</v>
      </c>
      <c r="D6" s="80">
        <v>8.2</v>
      </c>
      <c r="E6">
        <v>3</v>
      </c>
      <c r="F6">
        <v>0.6000000000000001</v>
      </c>
      <c r="G6" s="78" t="s">
        <v>137</v>
      </c>
      <c r="H6" s="79" t="s">
        <v>133</v>
      </c>
      <c r="I6" s="78">
        <v>9.7</v>
      </c>
      <c r="J6">
        <v>640</v>
      </c>
    </row>
    <row r="7" spans="2:10" ht="12.75">
      <c r="B7" s="256">
        <v>5.6</v>
      </c>
      <c r="C7">
        <v>200</v>
      </c>
      <c r="D7" s="80">
        <v>8.299999999999999</v>
      </c>
      <c r="E7">
        <v>4</v>
      </c>
      <c r="F7">
        <v>0.6500000000000001</v>
      </c>
      <c r="G7" s="78" t="s">
        <v>543</v>
      </c>
      <c r="H7" s="79" t="s">
        <v>134</v>
      </c>
      <c r="I7" s="78">
        <v>9.5</v>
      </c>
      <c r="J7">
        <v>490</v>
      </c>
    </row>
    <row r="8" spans="2:10" ht="12.75">
      <c r="B8" s="256">
        <v>5.7</v>
      </c>
      <c r="C8">
        <v>225</v>
      </c>
      <c r="D8" s="80">
        <v>8.399999999999999</v>
      </c>
      <c r="E8">
        <v>5</v>
      </c>
      <c r="F8">
        <v>0.7000000000000002</v>
      </c>
      <c r="G8" s="78" t="s">
        <v>542</v>
      </c>
      <c r="J8">
        <v>380</v>
      </c>
    </row>
    <row r="9" spans="2:7" ht="12.75">
      <c r="B9" s="256">
        <v>5.8</v>
      </c>
      <c r="C9">
        <v>250</v>
      </c>
      <c r="D9" s="80">
        <v>8.499999999999998</v>
      </c>
      <c r="E9">
        <v>6</v>
      </c>
      <c r="F9">
        <v>0.7500000000000002</v>
      </c>
      <c r="G9" s="78" t="s">
        <v>138</v>
      </c>
    </row>
    <row r="10" spans="2:12" ht="12.75">
      <c r="B10" s="256">
        <v>5.9</v>
      </c>
      <c r="C10">
        <v>275</v>
      </c>
      <c r="D10" s="80">
        <v>8.599999999999998</v>
      </c>
      <c r="E10">
        <v>7</v>
      </c>
      <c r="F10">
        <v>0.8000000000000003</v>
      </c>
      <c r="G10" s="78" t="s">
        <v>207</v>
      </c>
      <c r="I10" s="82" t="s">
        <v>229</v>
      </c>
      <c r="K10" s="82" t="s">
        <v>231</v>
      </c>
      <c r="L10" s="82" t="s">
        <v>233</v>
      </c>
    </row>
    <row r="11" spans="2:12" ht="12.75">
      <c r="B11" s="256">
        <v>6</v>
      </c>
      <c r="C11">
        <v>300</v>
      </c>
      <c r="D11" s="80">
        <v>8.699999999999998</v>
      </c>
      <c r="E11">
        <v>8</v>
      </c>
      <c r="F11">
        <v>0.8500000000000003</v>
      </c>
      <c r="G11" s="78" t="s">
        <v>139</v>
      </c>
      <c r="I11">
        <v>0.6</v>
      </c>
      <c r="K11">
        <v>20</v>
      </c>
      <c r="L11">
        <v>5</v>
      </c>
    </row>
    <row r="12" spans="2:9" ht="12.75">
      <c r="B12" s="256">
        <v>6.1</v>
      </c>
      <c r="C12" s="79" t="s">
        <v>225</v>
      </c>
      <c r="D12" s="80">
        <v>8.799999999999997</v>
      </c>
      <c r="E12">
        <v>9</v>
      </c>
      <c r="F12">
        <v>0.9000000000000004</v>
      </c>
      <c r="G12" s="78" t="s">
        <v>220</v>
      </c>
      <c r="I12">
        <v>0.65</v>
      </c>
    </row>
    <row r="13" spans="2:9" ht="12.75">
      <c r="B13" s="256">
        <v>6.2</v>
      </c>
      <c r="C13" s="80"/>
      <c r="D13" s="80">
        <v>8.899999999999997</v>
      </c>
      <c r="E13">
        <v>10</v>
      </c>
      <c r="F13">
        <v>0.9500000000000004</v>
      </c>
      <c r="G13" s="78" t="s">
        <v>140</v>
      </c>
      <c r="I13">
        <v>1.2</v>
      </c>
    </row>
    <row r="14" spans="2:7" ht="12.75">
      <c r="B14" s="256">
        <v>6.3</v>
      </c>
      <c r="C14" s="80"/>
      <c r="D14" s="80">
        <v>8.999999999999996</v>
      </c>
      <c r="E14">
        <v>11</v>
      </c>
      <c r="F14">
        <v>1.0000000000000004</v>
      </c>
      <c r="G14" s="78" t="s">
        <v>141</v>
      </c>
    </row>
    <row r="15" spans="2:7" ht="12.75">
      <c r="B15" s="256">
        <v>6.4</v>
      </c>
      <c r="C15" s="80"/>
      <c r="D15" s="80">
        <v>9.099999999999996</v>
      </c>
      <c r="E15">
        <v>12</v>
      </c>
      <c r="F15">
        <v>1.0500000000000005</v>
      </c>
      <c r="G15" s="78" t="s">
        <v>208</v>
      </c>
    </row>
    <row r="16" spans="2:7" ht="12.75">
      <c r="B16" s="256">
        <v>6.5</v>
      </c>
      <c r="C16" s="80"/>
      <c r="D16" s="80">
        <v>9.199999999999996</v>
      </c>
      <c r="E16">
        <v>13</v>
      </c>
      <c r="F16">
        <v>1.1000000000000005</v>
      </c>
      <c r="G16" s="78" t="s">
        <v>142</v>
      </c>
    </row>
    <row r="17" spans="2:7" ht="12.75">
      <c r="B17" s="256">
        <v>6.6</v>
      </c>
      <c r="C17" s="80"/>
      <c r="D17" s="80">
        <v>9.299999999999995</v>
      </c>
      <c r="E17">
        <v>14</v>
      </c>
      <c r="F17">
        <v>1.1500000000000006</v>
      </c>
      <c r="G17" s="78" t="s">
        <v>221</v>
      </c>
    </row>
    <row r="18" spans="2:7" ht="12.75">
      <c r="B18" s="256">
        <v>6.7</v>
      </c>
      <c r="C18" s="80"/>
      <c r="D18" s="80">
        <v>9.399999999999995</v>
      </c>
      <c r="E18">
        <v>15</v>
      </c>
      <c r="F18">
        <v>1.2000000000000006</v>
      </c>
      <c r="G18" s="78" t="s">
        <v>143</v>
      </c>
    </row>
    <row r="19" spans="2:7" ht="12.75">
      <c r="B19" s="256">
        <v>6.8</v>
      </c>
      <c r="C19" s="80"/>
      <c r="D19" s="80">
        <v>9.5</v>
      </c>
      <c r="E19">
        <v>16</v>
      </c>
      <c r="F19">
        <v>1.2500000000000007</v>
      </c>
      <c r="G19" s="78" t="s">
        <v>144</v>
      </c>
    </row>
    <row r="20" spans="2:7" ht="12.75">
      <c r="B20" s="256">
        <v>6.9</v>
      </c>
      <c r="C20" s="80"/>
      <c r="D20" s="80">
        <v>9.6</v>
      </c>
      <c r="E20">
        <v>17</v>
      </c>
      <c r="F20">
        <v>1.3000000000000007</v>
      </c>
      <c r="G20" s="78" t="s">
        <v>145</v>
      </c>
    </row>
    <row r="21" spans="2:7" ht="12.75">
      <c r="B21" s="256">
        <v>7</v>
      </c>
      <c r="C21" s="80"/>
      <c r="D21" s="80">
        <v>9.7</v>
      </c>
      <c r="E21">
        <v>18</v>
      </c>
      <c r="F21">
        <v>1.3500000000000008</v>
      </c>
      <c r="G21" s="78" t="s">
        <v>146</v>
      </c>
    </row>
    <row r="22" spans="2:7" ht="12.75">
      <c r="B22" s="256">
        <v>7.1</v>
      </c>
      <c r="C22" s="80"/>
      <c r="D22" s="80">
        <v>9.8</v>
      </c>
      <c r="E22">
        <v>19</v>
      </c>
      <c r="F22">
        <v>1.4000000000000008</v>
      </c>
      <c r="G22" s="78" t="s">
        <v>147</v>
      </c>
    </row>
    <row r="23" spans="2:7" ht="12.75">
      <c r="B23" s="256">
        <v>7.2</v>
      </c>
      <c r="C23" s="80"/>
      <c r="D23" s="80">
        <v>9.9</v>
      </c>
      <c r="E23">
        <v>20</v>
      </c>
      <c r="F23">
        <v>1.4500000000000008</v>
      </c>
      <c r="G23" s="78" t="s">
        <v>222</v>
      </c>
    </row>
    <row r="24" spans="2:7" ht="12.75">
      <c r="B24" s="256">
        <v>7.3</v>
      </c>
      <c r="C24" s="80"/>
      <c r="D24" s="80">
        <v>10</v>
      </c>
      <c r="F24">
        <v>1.5000000000000009</v>
      </c>
      <c r="G24" s="78" t="s">
        <v>148</v>
      </c>
    </row>
    <row r="25" spans="2:7" ht="12.75">
      <c r="B25" s="256">
        <v>7.4</v>
      </c>
      <c r="C25" s="80"/>
      <c r="D25" s="80">
        <v>10.099999999999993</v>
      </c>
      <c r="F25">
        <v>1.550000000000001</v>
      </c>
      <c r="G25" s="78" t="s">
        <v>149</v>
      </c>
    </row>
    <row r="26" spans="2:7" ht="12.75">
      <c r="B26" s="256">
        <v>7.5</v>
      </c>
      <c r="C26" s="80"/>
      <c r="D26" s="80">
        <v>10.199999999999992</v>
      </c>
      <c r="F26">
        <v>1.600000000000001</v>
      </c>
      <c r="G26" s="78" t="s">
        <v>150</v>
      </c>
    </row>
    <row r="27" spans="2:7" ht="12.75">
      <c r="B27" s="256">
        <v>7.6</v>
      </c>
      <c r="C27" s="80"/>
      <c r="D27" s="80">
        <v>10.299999999999992</v>
      </c>
      <c r="G27" s="78" t="s">
        <v>151</v>
      </c>
    </row>
    <row r="28" spans="2:7" ht="12.75">
      <c r="B28" s="256">
        <v>7.7</v>
      </c>
      <c r="C28" s="80"/>
      <c r="D28" s="80">
        <v>10.399999999999991</v>
      </c>
      <c r="G28" s="78" t="s">
        <v>152</v>
      </c>
    </row>
    <row r="29" spans="2:7" ht="12.75">
      <c r="B29" s="256">
        <v>7.8</v>
      </c>
      <c r="C29" s="80"/>
      <c r="D29" s="80">
        <v>10.499999999999991</v>
      </c>
      <c r="G29" s="78" t="s">
        <v>153</v>
      </c>
    </row>
    <row r="30" spans="2:7" ht="12.75">
      <c r="B30" s="256">
        <v>7.9</v>
      </c>
      <c r="C30" s="80"/>
      <c r="D30" s="80">
        <v>10.59999999999999</v>
      </c>
      <c r="G30" s="78" t="s">
        <v>154</v>
      </c>
    </row>
    <row r="31" spans="2:7" ht="12.75">
      <c r="B31" s="256">
        <v>8</v>
      </c>
      <c r="C31" s="80"/>
      <c r="D31" s="80">
        <v>10.69999999999999</v>
      </c>
      <c r="G31" s="78" t="s">
        <v>155</v>
      </c>
    </row>
    <row r="32" spans="2:7" ht="12.75">
      <c r="B32" s="256">
        <v>8.1</v>
      </c>
      <c r="C32" s="80"/>
      <c r="D32" s="80">
        <v>10.79999999999999</v>
      </c>
      <c r="G32" s="78" t="s">
        <v>156</v>
      </c>
    </row>
    <row r="33" spans="2:7" ht="12.75">
      <c r="B33" s="256">
        <v>8.2</v>
      </c>
      <c r="C33" s="80"/>
      <c r="D33" s="80">
        <v>10.89999999999999</v>
      </c>
      <c r="G33" s="78" t="s">
        <v>209</v>
      </c>
    </row>
    <row r="34" spans="2:7" ht="12.75">
      <c r="B34" s="256">
        <v>8.3</v>
      </c>
      <c r="C34" s="80"/>
      <c r="D34" s="80">
        <v>10.99999999999999</v>
      </c>
      <c r="G34" s="78" t="s">
        <v>157</v>
      </c>
    </row>
    <row r="35" spans="2:7" ht="12.75">
      <c r="B35" s="256">
        <v>8.4</v>
      </c>
      <c r="C35" s="80"/>
      <c r="D35" s="80">
        <v>11.099999999999989</v>
      </c>
      <c r="G35" s="78" t="s">
        <v>544</v>
      </c>
    </row>
    <row r="36" spans="2:7" ht="12.75">
      <c r="B36" s="256">
        <v>8.5</v>
      </c>
      <c r="C36" s="80"/>
      <c r="D36" s="80">
        <v>11.199999999999989</v>
      </c>
      <c r="G36" s="78" t="s">
        <v>158</v>
      </c>
    </row>
    <row r="37" spans="2:7" ht="12.75">
      <c r="B37" s="256">
        <v>8.6</v>
      </c>
      <c r="C37" s="80"/>
      <c r="D37" s="80">
        <v>11.299999999999988</v>
      </c>
      <c r="G37" s="78" t="s">
        <v>223</v>
      </c>
    </row>
    <row r="38" spans="2:7" ht="12.75">
      <c r="B38" s="256">
        <v>8.7</v>
      </c>
      <c r="C38" s="80"/>
      <c r="D38" s="80">
        <v>11.399999999999988</v>
      </c>
      <c r="G38" s="78" t="s">
        <v>210</v>
      </c>
    </row>
    <row r="39" spans="2:7" ht="12.75">
      <c r="B39" s="256">
        <v>8.8</v>
      </c>
      <c r="C39" s="80"/>
      <c r="D39" s="80">
        <v>11.499999999999988</v>
      </c>
      <c r="G39" s="78" t="s">
        <v>159</v>
      </c>
    </row>
    <row r="40" spans="2:7" ht="12.75">
      <c r="B40" s="256">
        <v>8.9</v>
      </c>
      <c r="C40" s="80"/>
      <c r="D40" s="80">
        <v>11.599999999999987</v>
      </c>
      <c r="G40" s="78" t="s">
        <v>160</v>
      </c>
    </row>
    <row r="41" spans="2:7" ht="12.75">
      <c r="B41" s="256">
        <v>9</v>
      </c>
      <c r="C41" s="80"/>
      <c r="D41" s="80">
        <v>11.699999999999987</v>
      </c>
      <c r="G41" s="78" t="s">
        <v>161</v>
      </c>
    </row>
    <row r="42" spans="2:7" ht="12.75">
      <c r="B42" s="256">
        <v>9.1</v>
      </c>
      <c r="C42" s="80"/>
      <c r="D42" s="80">
        <v>11.799999999999986</v>
      </c>
      <c r="G42" s="78" t="s">
        <v>162</v>
      </c>
    </row>
    <row r="43" spans="2:7" ht="12.75">
      <c r="B43" s="256">
        <v>9.2</v>
      </c>
      <c r="C43" s="80"/>
      <c r="D43" s="80">
        <v>11.899999999999986</v>
      </c>
      <c r="G43" s="78" t="s">
        <v>163</v>
      </c>
    </row>
    <row r="44" spans="2:7" ht="12.75">
      <c r="B44" s="256">
        <v>9.3</v>
      </c>
      <c r="C44" s="80"/>
      <c r="D44" s="80">
        <v>11.999999999999986</v>
      </c>
      <c r="G44" s="78" t="s">
        <v>164</v>
      </c>
    </row>
    <row r="45" spans="2:7" ht="12.75">
      <c r="B45" s="256">
        <v>9.4</v>
      </c>
      <c r="C45" s="80"/>
      <c r="D45" s="80">
        <v>12.099999999999985</v>
      </c>
      <c r="G45" s="78" t="s">
        <v>165</v>
      </c>
    </row>
    <row r="46" spans="2:7" ht="12.75">
      <c r="B46" s="256">
        <v>9.5</v>
      </c>
      <c r="C46" s="80"/>
      <c r="D46" s="80">
        <v>12.199999999999985</v>
      </c>
      <c r="G46" s="78" t="s">
        <v>166</v>
      </c>
    </row>
    <row r="47" spans="2:7" ht="12.75">
      <c r="B47" s="256">
        <v>9.6</v>
      </c>
      <c r="C47" s="80"/>
      <c r="D47" s="80">
        <v>12.299999999999985</v>
      </c>
      <c r="G47" s="78" t="s">
        <v>167</v>
      </c>
    </row>
    <row r="48" spans="2:7" ht="12.75">
      <c r="B48" s="256">
        <v>9.7</v>
      </c>
      <c r="C48" s="80"/>
      <c r="D48" s="80">
        <v>12.399999999999984</v>
      </c>
      <c r="G48" s="78" t="s">
        <v>168</v>
      </c>
    </row>
    <row r="49" spans="2:7" ht="12.75">
      <c r="B49" s="256">
        <v>9.8</v>
      </c>
      <c r="C49" s="80"/>
      <c r="D49" s="80">
        <v>12.499999999999984</v>
      </c>
      <c r="G49" s="78" t="s">
        <v>169</v>
      </c>
    </row>
    <row r="50" spans="2:7" ht="12.75">
      <c r="B50" s="256">
        <v>9.9</v>
      </c>
      <c r="C50" s="80"/>
      <c r="D50" s="80">
        <v>12.599999999999984</v>
      </c>
      <c r="G50" s="78" t="s">
        <v>170</v>
      </c>
    </row>
    <row r="51" spans="2:7" ht="12.75">
      <c r="B51" s="256">
        <v>10</v>
      </c>
      <c r="C51" s="80"/>
      <c r="D51" s="80">
        <v>12.699999999999983</v>
      </c>
      <c r="G51" s="78" t="s">
        <v>171</v>
      </c>
    </row>
    <row r="52" spans="2:7" ht="12.75">
      <c r="B52" s="256">
        <v>10.1</v>
      </c>
      <c r="C52" s="80"/>
      <c r="D52" s="80">
        <v>12.799999999999983</v>
      </c>
      <c r="G52" s="78" t="s">
        <v>172</v>
      </c>
    </row>
    <row r="53" spans="2:7" ht="12.75">
      <c r="B53" s="256">
        <v>10.199999999999983</v>
      </c>
      <c r="C53" s="80"/>
      <c r="D53" s="80">
        <v>12.899999999999983</v>
      </c>
      <c r="G53" s="78" t="s">
        <v>545</v>
      </c>
    </row>
    <row r="54" spans="2:7" ht="12.75">
      <c r="B54" s="256">
        <v>10.299999999999983</v>
      </c>
      <c r="C54" s="80"/>
      <c r="D54" s="80">
        <v>12.999999999999982</v>
      </c>
      <c r="G54" s="78" t="s">
        <v>173</v>
      </c>
    </row>
    <row r="55" spans="2:7" ht="12.75">
      <c r="B55" s="256">
        <v>10.399999999999983</v>
      </c>
      <c r="C55" s="80"/>
      <c r="D55" s="80">
        <v>13.099999999999982</v>
      </c>
      <c r="G55" s="78" t="s">
        <v>174</v>
      </c>
    </row>
    <row r="56" spans="2:7" ht="12.75">
      <c r="B56" s="256">
        <v>10.499999999999982</v>
      </c>
      <c r="C56" s="80"/>
      <c r="D56" s="80">
        <v>13.199999999999982</v>
      </c>
      <c r="G56" s="78" t="s">
        <v>175</v>
      </c>
    </row>
    <row r="57" spans="2:7" ht="12.75">
      <c r="B57" s="256">
        <v>10.599999999999982</v>
      </c>
      <c r="C57" s="80"/>
      <c r="D57" s="80">
        <v>13.299999999999981</v>
      </c>
      <c r="G57" s="78" t="s">
        <v>176</v>
      </c>
    </row>
    <row r="58" spans="2:7" ht="12.75">
      <c r="B58" s="256">
        <v>10.699999999999982</v>
      </c>
      <c r="C58" s="80"/>
      <c r="D58" s="80">
        <v>13.39999999999998</v>
      </c>
      <c r="G58" s="78" t="s">
        <v>177</v>
      </c>
    </row>
    <row r="59" spans="2:7" ht="12.75">
      <c r="B59" s="256">
        <v>10.799999999999981</v>
      </c>
      <c r="C59" s="80"/>
      <c r="D59" s="80">
        <v>13.49999999999998</v>
      </c>
      <c r="G59" s="78" t="s">
        <v>178</v>
      </c>
    </row>
    <row r="60" spans="2:7" ht="12.75">
      <c r="B60" s="256">
        <v>10.89999999999998</v>
      </c>
      <c r="C60" s="80"/>
      <c r="D60" s="80">
        <v>13.59999999999998</v>
      </c>
      <c r="G60" s="78" t="s">
        <v>179</v>
      </c>
    </row>
    <row r="61" spans="2:7" ht="12.75">
      <c r="B61" s="256">
        <v>10.99999999999998</v>
      </c>
      <c r="C61" s="80"/>
      <c r="D61" s="80">
        <v>13.69999999999998</v>
      </c>
      <c r="G61" s="78" t="s">
        <v>180</v>
      </c>
    </row>
    <row r="62" spans="2:7" ht="12.75">
      <c r="B62" s="256">
        <v>11.09999999999998</v>
      </c>
      <c r="C62" s="80"/>
      <c r="D62" s="80">
        <v>13.79999999999998</v>
      </c>
      <c r="G62" s="78" t="s">
        <v>181</v>
      </c>
    </row>
    <row r="63" spans="2:7" ht="12.75">
      <c r="B63" s="256">
        <v>11.19999999999998</v>
      </c>
      <c r="C63" s="80"/>
      <c r="D63" s="80">
        <v>13.899999999999979</v>
      </c>
      <c r="G63" s="78" t="s">
        <v>182</v>
      </c>
    </row>
    <row r="64" spans="2:7" ht="12.75">
      <c r="B64" s="256">
        <v>11.29999999999998</v>
      </c>
      <c r="C64" s="80"/>
      <c r="D64" s="80">
        <v>13.999999999999979</v>
      </c>
      <c r="G64" s="78" t="s">
        <v>183</v>
      </c>
    </row>
    <row r="65" spans="2:7" ht="12.75">
      <c r="B65" s="256">
        <v>11.399999999999979</v>
      </c>
      <c r="C65" s="80"/>
      <c r="D65" s="80">
        <v>14.099999999999978</v>
      </c>
      <c r="G65" s="78" t="s">
        <v>184</v>
      </c>
    </row>
    <row r="66" spans="2:7" ht="12.75">
      <c r="B66" s="256">
        <v>11.499999999999979</v>
      </c>
      <c r="C66" s="80"/>
      <c r="D66" s="80">
        <v>14.199999999999978</v>
      </c>
      <c r="G66" s="78" t="s">
        <v>185</v>
      </c>
    </row>
    <row r="67" spans="2:7" ht="12.75">
      <c r="B67" s="256">
        <v>11.599999999999978</v>
      </c>
      <c r="C67" s="80"/>
      <c r="D67" s="80">
        <v>14.299999999999978</v>
      </c>
      <c r="G67" s="78" t="s">
        <v>186</v>
      </c>
    </row>
    <row r="68" spans="2:7" ht="12.75">
      <c r="B68" s="256">
        <v>11.699999999999978</v>
      </c>
      <c r="C68" s="80"/>
      <c r="D68" s="80">
        <v>14.399999999999977</v>
      </c>
      <c r="G68" s="78" t="s">
        <v>187</v>
      </c>
    </row>
    <row r="69" spans="2:7" ht="12.75">
      <c r="B69" s="256">
        <v>11.799999999999978</v>
      </c>
      <c r="C69" s="80"/>
      <c r="D69" s="80">
        <v>14.499999999999977</v>
      </c>
      <c r="G69" s="78" t="s">
        <v>188</v>
      </c>
    </row>
    <row r="70" spans="2:7" ht="12.75">
      <c r="B70" s="256">
        <v>11.899999999999977</v>
      </c>
      <c r="C70" s="80"/>
      <c r="D70" s="80">
        <v>14.599999999999977</v>
      </c>
      <c r="G70" s="78" t="s">
        <v>189</v>
      </c>
    </row>
    <row r="71" spans="2:7" ht="12.75">
      <c r="B71" s="256">
        <v>11.999999999999977</v>
      </c>
      <c r="C71" s="80"/>
      <c r="D71" s="80">
        <v>14.699999999999976</v>
      </c>
      <c r="G71" s="78" t="s">
        <v>190</v>
      </c>
    </row>
    <row r="72" spans="2:7" ht="12.75">
      <c r="B72" s="256">
        <v>12.099999999999977</v>
      </c>
      <c r="C72" s="80"/>
      <c r="D72" s="80">
        <v>14.799999999999976</v>
      </c>
      <c r="G72" s="78" t="s">
        <v>191</v>
      </c>
    </row>
    <row r="73" spans="2:7" ht="12.75">
      <c r="B73" s="256">
        <v>12.199999999999976</v>
      </c>
      <c r="C73" s="80"/>
      <c r="D73" s="80">
        <v>14.899999999999975</v>
      </c>
      <c r="G73" s="78" t="s">
        <v>192</v>
      </c>
    </row>
    <row r="74" spans="2:7" ht="12.75">
      <c r="B74" s="256">
        <v>12.299999999999976</v>
      </c>
      <c r="C74" s="80"/>
      <c r="D74" s="80">
        <v>14.999999999999975</v>
      </c>
      <c r="G74" s="78" t="s">
        <v>193</v>
      </c>
    </row>
    <row r="75" spans="2:7" ht="12.75">
      <c r="B75" s="256">
        <v>12.399999999999975</v>
      </c>
      <c r="C75" s="80"/>
      <c r="D75" s="80">
        <v>15.099999999999975</v>
      </c>
      <c r="G75" s="78" t="s">
        <v>211</v>
      </c>
    </row>
    <row r="76" spans="2:7" ht="12.75">
      <c r="B76" s="256">
        <v>12.499999999999975</v>
      </c>
      <c r="C76" s="80"/>
      <c r="D76" s="80">
        <v>15.199999999999974</v>
      </c>
      <c r="G76" s="78" t="s">
        <v>194</v>
      </c>
    </row>
    <row r="77" spans="2:7" ht="12.75">
      <c r="B77" s="256">
        <v>12.599999999999975</v>
      </c>
      <c r="C77" s="80"/>
      <c r="D77" s="80">
        <v>15.299999999999974</v>
      </c>
      <c r="G77" s="78" t="s">
        <v>212</v>
      </c>
    </row>
    <row r="78" spans="2:7" ht="12.75">
      <c r="B78" s="256">
        <v>12.699999999999974</v>
      </c>
      <c r="C78" s="80"/>
      <c r="D78" s="80">
        <v>15.399999999999974</v>
      </c>
      <c r="G78" s="78" t="s">
        <v>195</v>
      </c>
    </row>
    <row r="79" spans="2:7" ht="12.75">
      <c r="B79" s="256">
        <v>12.799999999999974</v>
      </c>
      <c r="C79" s="80"/>
      <c r="D79" s="80">
        <v>15.499999999999973</v>
      </c>
      <c r="G79" s="78" t="s">
        <v>196</v>
      </c>
    </row>
    <row r="80" spans="2:7" ht="12.75">
      <c r="B80" s="256">
        <v>12.899999999999974</v>
      </c>
      <c r="C80" s="80"/>
      <c r="D80" s="80">
        <v>15.599999999999973</v>
      </c>
      <c r="G80" s="78" t="s">
        <v>197</v>
      </c>
    </row>
    <row r="81" spans="2:7" ht="12.75">
      <c r="B81" s="256">
        <v>12.999999999999973</v>
      </c>
      <c r="C81" s="80"/>
      <c r="D81" s="80">
        <v>15.699999999999973</v>
      </c>
      <c r="G81" s="78" t="s">
        <v>198</v>
      </c>
    </row>
    <row r="82" spans="2:7" ht="12.75">
      <c r="B82" s="256">
        <v>13.099999999999973</v>
      </c>
      <c r="C82" s="80"/>
      <c r="D82" s="80">
        <v>15.799999999999972</v>
      </c>
      <c r="G82" s="78" t="s">
        <v>213</v>
      </c>
    </row>
    <row r="83" spans="2:7" ht="12.75">
      <c r="B83" s="256">
        <v>13.199999999999973</v>
      </c>
      <c r="C83" s="80"/>
      <c r="D83" s="80">
        <v>15.899999999999972</v>
      </c>
      <c r="G83" s="78" t="s">
        <v>199</v>
      </c>
    </row>
    <row r="84" spans="2:7" ht="12.75">
      <c r="B84" s="256">
        <v>13.299999999999972</v>
      </c>
      <c r="C84" s="80"/>
      <c r="D84" s="80">
        <v>15.999999999999972</v>
      </c>
      <c r="G84" s="78" t="s">
        <v>200</v>
      </c>
    </row>
    <row r="85" spans="2:7" ht="12.75">
      <c r="B85" s="256">
        <v>13.399999999999972</v>
      </c>
      <c r="C85" s="80"/>
      <c r="D85" s="79" t="s">
        <v>136</v>
      </c>
      <c r="G85" s="78" t="s">
        <v>201</v>
      </c>
    </row>
    <row r="86" spans="2:7" ht="12.75">
      <c r="B86" s="256">
        <v>13.499999999999972</v>
      </c>
      <c r="C86" s="80"/>
      <c r="G86" s="78" t="s">
        <v>202</v>
      </c>
    </row>
    <row r="87" spans="2:7" ht="12.75">
      <c r="B87" s="256">
        <v>13.599999999999971</v>
      </c>
      <c r="C87" s="80"/>
      <c r="G87" s="78" t="s">
        <v>203</v>
      </c>
    </row>
    <row r="88" spans="2:7" ht="12.75">
      <c r="B88" s="256">
        <v>13.69999999999997</v>
      </c>
      <c r="C88" s="80"/>
      <c r="G88" s="78" t="s">
        <v>204</v>
      </c>
    </row>
    <row r="89" spans="2:7" ht="12.75">
      <c r="B89" s="256">
        <v>13.79999999999997</v>
      </c>
      <c r="C89" s="80"/>
      <c r="G89" s="78" t="s">
        <v>205</v>
      </c>
    </row>
    <row r="90" spans="2:7" ht="12.75">
      <c r="B90" s="256">
        <v>13.89999999999997</v>
      </c>
      <c r="C90" s="80"/>
      <c r="G90" s="78" t="s">
        <v>214</v>
      </c>
    </row>
    <row r="91" spans="2:3" ht="12.75">
      <c r="B91" s="256">
        <v>13.99999999999997</v>
      </c>
      <c r="C91" s="80"/>
    </row>
    <row r="92" spans="2:3" ht="12.75">
      <c r="B92" s="256">
        <v>14.09999999999997</v>
      </c>
      <c r="C92" s="80"/>
    </row>
    <row r="93" spans="2:3" ht="12.75">
      <c r="B93" s="256">
        <v>14.199999999999969</v>
      </c>
      <c r="C93" s="80"/>
    </row>
    <row r="94" spans="2:3" ht="12.75">
      <c r="B94" s="256">
        <v>14.299999999999969</v>
      </c>
      <c r="C94" s="80"/>
    </row>
    <row r="95" spans="2:3" ht="12.75">
      <c r="B95" s="256">
        <v>14.399999999999968</v>
      </c>
      <c r="C95" s="80"/>
    </row>
    <row r="96" spans="2:3" ht="12.75">
      <c r="B96" s="256">
        <v>14.499999999999968</v>
      </c>
      <c r="C96" s="80"/>
    </row>
    <row r="97" spans="2:3" ht="12.75">
      <c r="B97" s="256">
        <v>14.599999999999968</v>
      </c>
      <c r="C97" s="80"/>
    </row>
    <row r="98" spans="2:3" ht="12.75">
      <c r="B98" s="256">
        <v>14.699999999999967</v>
      </c>
      <c r="C98" s="80"/>
    </row>
    <row r="99" spans="2:3" ht="12.75">
      <c r="B99" s="256">
        <v>14.799999999999967</v>
      </c>
      <c r="C99" s="80"/>
    </row>
    <row r="100" spans="2:3" ht="12.75">
      <c r="B100" s="256">
        <v>14.899999999999967</v>
      </c>
      <c r="C100" s="80"/>
    </row>
    <row r="101" spans="2:3" ht="12.75">
      <c r="B101" s="256">
        <v>14.999999999999966</v>
      </c>
      <c r="C101" s="80"/>
    </row>
    <row r="102" spans="2:3" ht="12.75">
      <c r="B102" s="256">
        <v>15.099999999999966</v>
      </c>
      <c r="C102" s="80"/>
    </row>
    <row r="103" spans="2:3" ht="12.75">
      <c r="B103" s="256">
        <v>15.199999999999966</v>
      </c>
      <c r="C103" s="80"/>
    </row>
    <row r="104" spans="2:3" ht="12.75">
      <c r="B104" s="256">
        <v>15.299999999999965</v>
      </c>
      <c r="C104" s="80"/>
    </row>
    <row r="105" spans="2:3" ht="12.75">
      <c r="B105" s="256">
        <v>15.399999999999965</v>
      </c>
      <c r="C105" s="80"/>
    </row>
    <row r="106" spans="2:3" ht="12.75">
      <c r="B106" s="256">
        <v>15.499999999999964</v>
      </c>
      <c r="C106" s="80"/>
    </row>
    <row r="107" spans="2:3" ht="12.75">
      <c r="B107" s="256">
        <v>15.599999999999964</v>
      </c>
      <c r="C107" s="80"/>
    </row>
    <row r="108" spans="2:3" ht="12.75">
      <c r="B108" s="256">
        <v>15.699999999999964</v>
      </c>
      <c r="C108" s="80"/>
    </row>
    <row r="109" spans="2:3" ht="12.75">
      <c r="B109" s="256">
        <v>15.799999999999963</v>
      </c>
      <c r="C109" s="80"/>
    </row>
    <row r="110" spans="2:3" ht="12.75">
      <c r="B110" s="256">
        <v>15.899999999999963</v>
      </c>
      <c r="C110" s="80"/>
    </row>
    <row r="111" spans="2:3" ht="12.75">
      <c r="B111" s="256">
        <v>15.999999999999963</v>
      </c>
      <c r="C111" s="80"/>
    </row>
    <row r="112" spans="2:3" ht="12.75">
      <c r="B112" s="256">
        <v>16.099999999999962</v>
      </c>
      <c r="C112" s="80"/>
    </row>
    <row r="113" spans="2:3" ht="12.75">
      <c r="B113" s="256">
        <v>16.199999999999964</v>
      </c>
      <c r="C113" s="80"/>
    </row>
    <row r="114" spans="2:3" ht="12.75">
      <c r="B114" s="256">
        <v>16.299999999999965</v>
      </c>
      <c r="C114" s="80"/>
    </row>
    <row r="115" spans="2:3" ht="12.75">
      <c r="B115" s="256">
        <v>16.399999999999967</v>
      </c>
      <c r="C115" s="80"/>
    </row>
    <row r="116" spans="2:3" ht="12.75">
      <c r="B116" s="256">
        <v>16.499999999999968</v>
      </c>
      <c r="C116" s="80"/>
    </row>
    <row r="117" spans="2:3" ht="12.75">
      <c r="B117" s="256">
        <v>16.59999999999997</v>
      </c>
      <c r="C117" s="80"/>
    </row>
    <row r="118" spans="2:3" ht="12.75">
      <c r="B118" s="256">
        <v>16.69999999999997</v>
      </c>
      <c r="C118" s="80"/>
    </row>
    <row r="119" spans="2:3" ht="12.75">
      <c r="B119" s="256">
        <v>16.799999999999972</v>
      </c>
      <c r="C119" s="80"/>
    </row>
    <row r="120" spans="2:3" ht="12.75">
      <c r="B120" s="256">
        <v>16.899999999999974</v>
      </c>
      <c r="C120" s="80"/>
    </row>
    <row r="121" spans="2:3" ht="12.75">
      <c r="B121" s="256">
        <v>16.999999999999975</v>
      </c>
      <c r="C121" s="80"/>
    </row>
    <row r="122" spans="2:3" ht="12.75">
      <c r="B122" s="256">
        <v>17.099999999999977</v>
      </c>
      <c r="C122" s="80"/>
    </row>
    <row r="123" spans="2:3" ht="12.75">
      <c r="B123" s="256">
        <v>17.199999999999978</v>
      </c>
      <c r="C123" s="80"/>
    </row>
    <row r="124" spans="2:3" ht="12.75">
      <c r="B124" s="256">
        <v>17.29999999999998</v>
      </c>
      <c r="C124" s="80"/>
    </row>
    <row r="125" spans="2:3" ht="12.75">
      <c r="B125" s="256">
        <v>17.39999999999998</v>
      </c>
      <c r="C125" s="80"/>
    </row>
    <row r="126" spans="2:3" ht="12.75">
      <c r="B126" s="256">
        <v>17.499999999999982</v>
      </c>
      <c r="C126" s="80"/>
    </row>
    <row r="127" spans="2:3" ht="12.75">
      <c r="B127" s="256">
        <v>17.599999999999984</v>
      </c>
      <c r="C127" s="80"/>
    </row>
    <row r="128" spans="2:3" ht="12.75">
      <c r="B128" s="256">
        <v>17.699999999999985</v>
      </c>
      <c r="C128" s="80"/>
    </row>
    <row r="129" spans="2:3" ht="12.75">
      <c r="B129" s="256">
        <v>17.799999999999986</v>
      </c>
      <c r="C129" s="80"/>
    </row>
    <row r="130" spans="2:3" ht="12.75">
      <c r="B130" s="256">
        <v>17.899999999999988</v>
      </c>
      <c r="C130" s="80"/>
    </row>
    <row r="131" spans="2:3" ht="12.75">
      <c r="B131" s="256">
        <v>17.99999999999999</v>
      </c>
      <c r="C131" s="80"/>
    </row>
    <row r="132" spans="2:3" ht="12.75">
      <c r="B132" s="256">
        <v>18.09999999999999</v>
      </c>
      <c r="C132" s="80"/>
    </row>
    <row r="133" spans="2:3" ht="12.75">
      <c r="B133" s="256">
        <v>18.199999999999992</v>
      </c>
      <c r="C133" s="80"/>
    </row>
    <row r="134" spans="2:3" ht="12.75">
      <c r="B134" s="256">
        <v>18.299999999999994</v>
      </c>
      <c r="C134" s="80"/>
    </row>
    <row r="135" spans="2:3" ht="12.75">
      <c r="B135" s="256">
        <v>18.399999999999995</v>
      </c>
      <c r="C135" s="80"/>
    </row>
    <row r="136" spans="2:3" ht="12.75">
      <c r="B136" s="256">
        <v>18.499999999999996</v>
      </c>
      <c r="C136" s="80"/>
    </row>
    <row r="137" spans="2:3" ht="12.75">
      <c r="B137" s="256">
        <v>18.599999999999998</v>
      </c>
      <c r="C137" s="80"/>
    </row>
    <row r="138" spans="2:3" ht="12.75">
      <c r="B138" s="256">
        <v>18.7</v>
      </c>
      <c r="C138" s="80"/>
    </row>
    <row r="139" spans="2:3" ht="12.75">
      <c r="B139" s="256">
        <v>18.8</v>
      </c>
      <c r="C139" s="80"/>
    </row>
    <row r="140" spans="2:3" ht="12.75">
      <c r="B140" s="256">
        <v>18.900000000000002</v>
      </c>
      <c r="C140" s="80"/>
    </row>
    <row r="141" spans="2:3" ht="12.75">
      <c r="B141" s="256">
        <v>19.000000000000004</v>
      </c>
      <c r="C141" s="80"/>
    </row>
    <row r="142" spans="2:3" ht="12.75">
      <c r="B142" s="256">
        <v>19.100000000000005</v>
      </c>
      <c r="C142" s="80"/>
    </row>
    <row r="143" spans="2:3" ht="12.75">
      <c r="B143" s="256">
        <v>19.200000000000006</v>
      </c>
      <c r="C143" s="80"/>
    </row>
    <row r="144" spans="2:3" ht="12.75">
      <c r="B144" s="256">
        <v>19.300000000000008</v>
      </c>
      <c r="C144" s="80"/>
    </row>
    <row r="145" spans="2:3" ht="12.75">
      <c r="B145" s="256">
        <v>19.40000000000001</v>
      </c>
      <c r="C145" s="80"/>
    </row>
    <row r="146" spans="2:3" ht="12.75">
      <c r="B146" s="256">
        <v>19.50000000000001</v>
      </c>
      <c r="C146" s="80"/>
    </row>
    <row r="147" spans="2:3" ht="12.75">
      <c r="B147" s="256">
        <v>19.600000000000012</v>
      </c>
      <c r="C147" s="80"/>
    </row>
    <row r="148" spans="2:3" ht="12.75">
      <c r="B148" s="256">
        <v>19.700000000000014</v>
      </c>
      <c r="C148" s="80"/>
    </row>
    <row r="149" spans="2:3" ht="12.75">
      <c r="B149" s="256">
        <v>19.800000000000015</v>
      </c>
      <c r="C149" s="80"/>
    </row>
    <row r="150" spans="2:3" ht="12.75">
      <c r="B150" s="256">
        <v>19.900000000000016</v>
      </c>
      <c r="C150" s="80"/>
    </row>
    <row r="151" spans="2:3" ht="12.75">
      <c r="B151" s="256">
        <v>20.000000000000018</v>
      </c>
      <c r="C151" s="80"/>
    </row>
    <row r="152" spans="2:3" ht="12.75">
      <c r="B152" s="258" t="s">
        <v>236</v>
      </c>
      <c r="C152" s="79"/>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C31"/>
  <sheetViews>
    <sheetView zoomScalePageLayoutView="0" workbookViewId="0" topLeftCell="A1">
      <selection activeCell="C14" sqref="C14"/>
    </sheetView>
  </sheetViews>
  <sheetFormatPr defaultColWidth="9.140625" defaultRowHeight="12.75"/>
  <cols>
    <col min="1" max="1" width="10.7109375" style="46" bestFit="1" customWidth="1"/>
    <col min="2" max="2" width="9.140625" style="33" customWidth="1"/>
    <col min="3" max="3" width="111.7109375" style="33" customWidth="1"/>
    <col min="4" max="16384" width="9.140625" style="33" customWidth="1"/>
  </cols>
  <sheetData>
    <row r="1" spans="1:3" s="289" customFormat="1" ht="15">
      <c r="A1" s="288" t="s">
        <v>93</v>
      </c>
      <c r="B1" s="289" t="s">
        <v>94</v>
      </c>
      <c r="C1" s="289" t="s">
        <v>95</v>
      </c>
    </row>
    <row r="2" spans="1:3" s="287" customFormat="1" ht="15">
      <c r="A2" s="284">
        <v>40106</v>
      </c>
      <c r="B2" s="290" t="s">
        <v>537</v>
      </c>
      <c r="C2" s="291" t="s">
        <v>540</v>
      </c>
    </row>
    <row r="3" spans="1:3" s="287" customFormat="1" ht="15">
      <c r="A3" s="284">
        <v>40106</v>
      </c>
      <c r="B3" s="290" t="s">
        <v>537</v>
      </c>
      <c r="C3" s="291" t="s">
        <v>538</v>
      </c>
    </row>
    <row r="4" spans="1:3" s="287" customFormat="1" ht="30">
      <c r="A4" s="284">
        <v>40106</v>
      </c>
      <c r="B4" s="290" t="s">
        <v>537</v>
      </c>
      <c r="C4" s="291" t="s">
        <v>546</v>
      </c>
    </row>
    <row r="5" spans="1:3" s="287" customFormat="1" ht="15">
      <c r="A5" s="284">
        <v>40106</v>
      </c>
      <c r="B5" s="290" t="s">
        <v>537</v>
      </c>
      <c r="C5" s="291" t="s">
        <v>547</v>
      </c>
    </row>
    <row r="6" spans="1:3" s="287" customFormat="1" ht="30">
      <c r="A6" s="284">
        <v>40224</v>
      </c>
      <c r="B6" s="285" t="s">
        <v>548</v>
      </c>
      <c r="C6" s="286" t="s">
        <v>549</v>
      </c>
    </row>
    <row r="7" spans="1:3" ht="15">
      <c r="A7" s="46">
        <v>40224</v>
      </c>
      <c r="B7" s="47" t="s">
        <v>548</v>
      </c>
      <c r="C7" s="294" t="s">
        <v>550</v>
      </c>
    </row>
    <row r="8" spans="1:3" ht="15">
      <c r="A8" s="46">
        <v>40224</v>
      </c>
      <c r="B8" s="47" t="s">
        <v>548</v>
      </c>
      <c r="C8" s="48" t="s">
        <v>551</v>
      </c>
    </row>
    <row r="9" spans="1:3" ht="30">
      <c r="A9" s="46">
        <v>40224</v>
      </c>
      <c r="B9" s="47" t="s">
        <v>548</v>
      </c>
      <c r="C9" s="292" t="s">
        <v>572</v>
      </c>
    </row>
    <row r="10" spans="1:3" ht="15">
      <c r="A10" s="46">
        <v>40241</v>
      </c>
      <c r="B10" s="293" t="s">
        <v>548</v>
      </c>
      <c r="C10" s="292" t="s">
        <v>571</v>
      </c>
    </row>
    <row r="11" spans="1:3" s="287" customFormat="1" ht="15">
      <c r="A11" s="284">
        <v>40224</v>
      </c>
      <c r="B11" s="285" t="s">
        <v>548</v>
      </c>
      <c r="C11" s="286" t="s">
        <v>552</v>
      </c>
    </row>
    <row r="12" spans="2:3" ht="30">
      <c r="B12" s="47" t="s">
        <v>574</v>
      </c>
      <c r="C12" s="48" t="s">
        <v>575</v>
      </c>
    </row>
    <row r="13" spans="1:3" ht="15">
      <c r="A13" s="46">
        <v>42018</v>
      </c>
      <c r="B13" s="47" t="s">
        <v>740</v>
      </c>
      <c r="C13" s="48" t="s">
        <v>741</v>
      </c>
    </row>
    <row r="14" spans="2:3" ht="15">
      <c r="B14" s="47"/>
      <c r="C14" s="48"/>
    </row>
    <row r="15" spans="2:3" ht="15">
      <c r="B15" s="47"/>
      <c r="C15" s="48"/>
    </row>
    <row r="16" spans="2:3" ht="15">
      <c r="B16" s="47"/>
      <c r="C16" s="48"/>
    </row>
    <row r="17" spans="2:3" ht="15">
      <c r="B17" s="47"/>
      <c r="C17" s="48"/>
    </row>
    <row r="18" spans="2:3" ht="15">
      <c r="B18" s="47"/>
      <c r="C18" s="48"/>
    </row>
    <row r="19" spans="2:3" ht="15">
      <c r="B19" s="47"/>
      <c r="C19" s="48"/>
    </row>
    <row r="20" spans="2:3" ht="15">
      <c r="B20" s="47"/>
      <c r="C20" s="48"/>
    </row>
    <row r="21" spans="2:3" ht="15">
      <c r="B21" s="47"/>
      <c r="C21" s="48"/>
    </row>
    <row r="22" spans="2:3" ht="15">
      <c r="B22" s="47"/>
      <c r="C22" s="48"/>
    </row>
    <row r="23" spans="2:3" ht="15">
      <c r="B23" s="47"/>
      <c r="C23" s="48"/>
    </row>
    <row r="24" spans="2:3" ht="15">
      <c r="B24" s="47"/>
      <c r="C24" s="48"/>
    </row>
    <row r="25" spans="2:3" ht="15">
      <c r="B25" s="47"/>
      <c r="C25" s="48"/>
    </row>
    <row r="26" spans="2:3" ht="15">
      <c r="B26" s="47"/>
      <c r="C26" s="48"/>
    </row>
    <row r="27" spans="2:3" ht="15">
      <c r="B27" s="47"/>
      <c r="C27" s="48"/>
    </row>
    <row r="28" ht="15">
      <c r="B28" s="47"/>
    </row>
    <row r="29" ht="15">
      <c r="B29" s="47"/>
    </row>
    <row r="30" ht="15">
      <c r="B30" s="47"/>
    </row>
    <row r="31" ht="15">
      <c r="B31" s="47"/>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10:M60"/>
  <sheetViews>
    <sheetView showGridLines="0" tabSelected="1" zoomScaleSheetLayoutView="115" zoomScalePageLayoutView="0" workbookViewId="0" topLeftCell="A4">
      <selection activeCell="I56" sqref="I56:L56"/>
    </sheetView>
  </sheetViews>
  <sheetFormatPr defaultColWidth="9.140625" defaultRowHeight="12.75"/>
  <cols>
    <col min="1" max="1" width="1.8515625" style="33" customWidth="1"/>
    <col min="2" max="2" width="9.8515625" style="33" customWidth="1"/>
    <col min="3" max="5" width="9.140625" style="33" customWidth="1"/>
    <col min="6" max="6" width="12.28125" style="33" customWidth="1"/>
    <col min="7" max="9" width="9.140625" style="33" customWidth="1"/>
    <col min="10" max="10" width="10.7109375" style="33" customWidth="1"/>
    <col min="11" max="11" width="9.140625" style="33" customWidth="1"/>
    <col min="12" max="12" width="12.8515625" style="33" customWidth="1"/>
    <col min="13" max="13" width="9.140625" style="33" customWidth="1"/>
    <col min="14" max="16384" width="9.140625" style="33" customWidth="1"/>
  </cols>
  <sheetData>
    <row r="1" ht="15"/>
    <row r="2" ht="15"/>
    <row r="3" ht="15"/>
    <row r="4" ht="15"/>
    <row r="5" ht="2.25" customHeight="1"/>
    <row r="6" ht="15"/>
    <row r="7" ht="26.25" customHeight="1"/>
    <row r="8" ht="15"/>
    <row r="9" ht="15"/>
    <row r="10" spans="2:12" ht="15">
      <c r="B10" s="708"/>
      <c r="C10" s="708"/>
      <c r="D10" s="708"/>
      <c r="E10" s="708"/>
      <c r="F10" s="708"/>
      <c r="G10" s="708"/>
      <c r="H10" s="708"/>
      <c r="I10" s="708"/>
      <c r="J10" s="708"/>
      <c r="K10" s="708"/>
      <c r="L10" s="708"/>
    </row>
    <row r="11" spans="2:7" s="35" customFormat="1" ht="11.25">
      <c r="B11" s="35" t="s">
        <v>1</v>
      </c>
      <c r="G11" s="35" t="s">
        <v>2</v>
      </c>
    </row>
    <row r="12" ht="7.5" customHeight="1"/>
    <row r="13" spans="2:12" ht="15">
      <c r="B13" s="708"/>
      <c r="C13" s="708"/>
      <c r="D13" s="708"/>
      <c r="E13" s="708"/>
      <c r="F13" s="708"/>
      <c r="G13" s="381"/>
      <c r="H13" s="384"/>
      <c r="I13" s="384"/>
      <c r="J13" s="34"/>
      <c r="K13" s="36"/>
      <c r="L13" s="37"/>
    </row>
    <row r="14" spans="2:11" s="35" customFormat="1" ht="11.25">
      <c r="B14" s="35" t="s">
        <v>3</v>
      </c>
      <c r="G14" s="35" t="s">
        <v>4</v>
      </c>
      <c r="J14" s="35" t="s">
        <v>5</v>
      </c>
      <c r="K14" s="35" t="s">
        <v>6</v>
      </c>
    </row>
    <row r="15" ht="7.5" customHeight="1"/>
    <row r="16" spans="2:12" ht="15">
      <c r="B16" s="708"/>
      <c r="C16" s="708"/>
      <c r="D16" s="708"/>
      <c r="E16" s="708"/>
      <c r="F16" s="708"/>
      <c r="G16" s="381"/>
      <c r="H16" s="384"/>
      <c r="I16" s="384"/>
      <c r="J16" s="34"/>
      <c r="K16" s="36"/>
      <c r="L16" s="37"/>
    </row>
    <row r="17" spans="2:11" s="35" customFormat="1" ht="11.25">
      <c r="B17" s="35" t="s">
        <v>7</v>
      </c>
      <c r="G17" s="35" t="s">
        <v>4</v>
      </c>
      <c r="J17" s="35" t="s">
        <v>5</v>
      </c>
      <c r="K17" s="35" t="s">
        <v>6</v>
      </c>
    </row>
    <row r="18" ht="7.5" customHeight="1"/>
    <row r="19" spans="2:11" ht="15">
      <c r="B19" s="709"/>
      <c r="C19" s="709"/>
      <c r="D19" s="709"/>
      <c r="E19" s="709"/>
      <c r="F19" s="709"/>
      <c r="G19" s="38"/>
      <c r="H19" s="38"/>
      <c r="I19" s="38"/>
      <c r="J19" s="38"/>
      <c r="K19" s="38"/>
    </row>
    <row r="20" spans="2:11" s="35" customFormat="1" ht="11.25">
      <c r="B20" s="35" t="s">
        <v>8</v>
      </c>
      <c r="G20" s="39"/>
      <c r="H20" s="39"/>
      <c r="I20" s="39"/>
      <c r="J20" s="39"/>
      <c r="K20" s="39"/>
    </row>
    <row r="21" ht="15">
      <c r="M21" s="40"/>
    </row>
    <row r="22" spans="2:13" ht="15">
      <c r="B22" s="273"/>
      <c r="M22" s="41"/>
    </row>
    <row r="23" spans="11:12" ht="16.5" customHeight="1">
      <c r="K23" s="706"/>
      <c r="L23" s="706"/>
    </row>
    <row r="24" spans="2:12" ht="16.5" customHeight="1">
      <c r="B24" s="303"/>
      <c r="C24" s="42"/>
      <c r="D24" s="42"/>
      <c r="E24" s="42"/>
      <c r="F24" s="42"/>
      <c r="G24" s="42"/>
      <c r="H24" s="42"/>
      <c r="I24" s="42"/>
      <c r="J24" s="42"/>
      <c r="K24" s="42"/>
      <c r="L24" s="42"/>
    </row>
    <row r="25" spans="2:12" ht="18" customHeight="1" hidden="1">
      <c r="B25" s="43"/>
      <c r="D25" s="35"/>
      <c r="J25" s="44"/>
      <c r="K25" s="44"/>
      <c r="L25" s="44"/>
    </row>
    <row r="26" spans="2:12" ht="6.75" customHeight="1">
      <c r="B26" s="43"/>
      <c r="D26" s="35"/>
      <c r="J26" s="44"/>
      <c r="K26" s="44"/>
      <c r="L26" s="44"/>
    </row>
    <row r="27" spans="2:6" ht="15" customHeight="1">
      <c r="B27" s="35"/>
      <c r="F27" s="45"/>
    </row>
    <row r="28" spans="11:12" ht="16.5" customHeight="1">
      <c r="K28" s="706"/>
      <c r="L28" s="706"/>
    </row>
    <row r="29" ht="15"/>
    <row r="32" ht="10.5" customHeight="1"/>
    <row r="33" ht="3" customHeight="1" hidden="1"/>
    <row r="34" spans="2:12" s="35" customFormat="1" ht="12.75">
      <c r="B34" s="708"/>
      <c r="C34" s="708"/>
      <c r="D34" s="708"/>
      <c r="E34" s="708"/>
      <c r="F34" s="708"/>
      <c r="G34" s="708"/>
      <c r="H34" s="708"/>
      <c r="I34" s="707"/>
      <c r="J34" s="707"/>
      <c r="K34" s="707"/>
      <c r="L34" s="707"/>
    </row>
    <row r="35" spans="2:9" s="35" customFormat="1" ht="11.25">
      <c r="B35" s="35" t="s">
        <v>9</v>
      </c>
      <c r="I35" s="35" t="s">
        <v>10</v>
      </c>
    </row>
    <row r="36" ht="7.5" customHeight="1"/>
    <row r="37" spans="2:12" s="35" customFormat="1" ht="12.75">
      <c r="B37" s="708"/>
      <c r="C37" s="708"/>
      <c r="D37" s="708"/>
      <c r="E37" s="708"/>
      <c r="F37" s="708"/>
      <c r="G37" s="708"/>
      <c r="H37" s="708"/>
      <c r="I37" s="712"/>
      <c r="J37" s="712"/>
      <c r="K37" s="712"/>
      <c r="L37" s="712"/>
    </row>
    <row r="38" s="35" customFormat="1" ht="11.25">
      <c r="B38" s="35" t="s">
        <v>11</v>
      </c>
    </row>
    <row r="43" ht="0.75" customHeight="1"/>
    <row r="44" spans="2:12" ht="15">
      <c r="B44" s="708"/>
      <c r="C44" s="708"/>
      <c r="D44" s="708"/>
      <c r="E44" s="708"/>
      <c r="F44" s="708"/>
      <c r="G44" s="708"/>
      <c r="H44" s="708"/>
      <c r="I44" s="715"/>
      <c r="J44" s="712"/>
      <c r="K44" s="712"/>
      <c r="L44" s="712"/>
    </row>
    <row r="45" spans="2:9" s="35" customFormat="1" ht="11.25">
      <c r="B45" s="35" t="s">
        <v>12</v>
      </c>
      <c r="I45" s="35" t="s">
        <v>13</v>
      </c>
    </row>
    <row r="46" ht="15"/>
    <row r="47" ht="15"/>
    <row r="49" ht="9" customHeight="1"/>
    <row r="50" spans="2:12" ht="15">
      <c r="B50" s="708"/>
      <c r="C50" s="708"/>
      <c r="D50" s="708"/>
      <c r="E50" s="708"/>
      <c r="F50" s="708"/>
      <c r="G50" s="708"/>
      <c r="H50" s="708"/>
      <c r="I50" s="708"/>
      <c r="J50" s="708"/>
      <c r="K50" s="708"/>
      <c r="L50" s="708"/>
    </row>
    <row r="51" s="35" customFormat="1" ht="11.25">
      <c r="B51" s="35" t="s">
        <v>0</v>
      </c>
    </row>
    <row r="52" ht="3" customHeight="1"/>
    <row r="53" spans="2:12" ht="15">
      <c r="B53" s="708"/>
      <c r="C53" s="708"/>
      <c r="D53" s="708"/>
      <c r="E53" s="708"/>
      <c r="F53" s="708"/>
      <c r="G53" s="708"/>
      <c r="H53" s="708"/>
      <c r="I53" s="708"/>
      <c r="J53" s="34"/>
      <c r="K53" s="712"/>
      <c r="L53" s="712"/>
    </row>
    <row r="54" spans="2:11" s="35" customFormat="1" ht="11.25">
      <c r="B54" s="35" t="s">
        <v>14</v>
      </c>
      <c r="G54" s="35" t="s">
        <v>4</v>
      </c>
      <c r="J54" s="35" t="s">
        <v>5</v>
      </c>
      <c r="K54" s="35" t="s">
        <v>6</v>
      </c>
    </row>
    <row r="55" ht="3" customHeight="1"/>
    <row r="56" spans="2:12" s="35" customFormat="1" ht="15">
      <c r="B56" s="708"/>
      <c r="C56" s="708"/>
      <c r="D56" s="708"/>
      <c r="E56" s="708"/>
      <c r="F56" s="708"/>
      <c r="G56" s="708"/>
      <c r="H56" s="708"/>
      <c r="I56" s="707"/>
      <c r="J56" s="714"/>
      <c r="K56" s="714"/>
      <c r="L56" s="714"/>
    </row>
    <row r="57" spans="2:9" s="35" customFormat="1" ht="11.25">
      <c r="B57" s="35" t="s">
        <v>9</v>
      </c>
      <c r="I57" s="35" t="s">
        <v>10</v>
      </c>
    </row>
    <row r="58" ht="3" customHeight="1"/>
    <row r="59" spans="2:12" ht="15">
      <c r="B59" s="710"/>
      <c r="C59" s="711"/>
      <c r="D59" s="711"/>
      <c r="E59" s="711"/>
      <c r="F59" s="711"/>
      <c r="G59" s="711"/>
      <c r="H59" s="711"/>
      <c r="I59" s="712"/>
      <c r="J59" s="713"/>
      <c r="K59" s="713"/>
      <c r="L59" s="713"/>
    </row>
    <row r="60" s="35" customFormat="1" ht="11.25">
      <c r="B60" s="35" t="s">
        <v>11</v>
      </c>
    </row>
  </sheetData>
  <sheetProtection sheet="1" objects="1" scenarios="1" selectLockedCells="1"/>
  <mergeCells count="21">
    <mergeCell ref="B59:H59"/>
    <mergeCell ref="I59:L59"/>
    <mergeCell ref="B53:F53"/>
    <mergeCell ref="G53:I53"/>
    <mergeCell ref="K53:L53"/>
    <mergeCell ref="I37:L37"/>
    <mergeCell ref="I56:L56"/>
    <mergeCell ref="I44:L44"/>
    <mergeCell ref="B56:H56"/>
    <mergeCell ref="B50:L50"/>
    <mergeCell ref="K28:L28"/>
    <mergeCell ref="B16:F16"/>
    <mergeCell ref="B19:F19"/>
    <mergeCell ref="B37:H37"/>
    <mergeCell ref="K23:L23"/>
    <mergeCell ref="I34:L34"/>
    <mergeCell ref="B44:H44"/>
    <mergeCell ref="B10:F10"/>
    <mergeCell ref="G10:L10"/>
    <mergeCell ref="B13:F13"/>
    <mergeCell ref="B34:H34"/>
  </mergeCells>
  <printOptions horizontalCentered="1" verticalCentered="1"/>
  <pageMargins left="0" right="0" top="0" bottom="0" header="0" footer="0"/>
  <pageSetup fitToHeight="1" fitToWidth="1" horizontalDpi="600" verticalDpi="600" orientation="portrait" scale="90"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IR148"/>
  <sheetViews>
    <sheetView zoomScale="85" zoomScaleNormal="85" zoomScaleSheetLayoutView="80" workbookViewId="0" topLeftCell="A1">
      <selection activeCell="A10" sqref="A10"/>
    </sheetView>
  </sheetViews>
  <sheetFormatPr defaultColWidth="9.140625" defaultRowHeight="12.75"/>
  <cols>
    <col min="1" max="1" width="6.57421875" style="0" customWidth="1"/>
    <col min="2" max="2" width="9.7109375" style="0" customWidth="1"/>
    <col min="3" max="3" width="5.421875" style="0" customWidth="1"/>
    <col min="4" max="4" width="10.57421875" style="0" customWidth="1"/>
    <col min="5" max="6" width="14.00390625" style="0" customWidth="1"/>
    <col min="7" max="7" width="6.421875" style="0" customWidth="1"/>
    <col min="8" max="8" width="9.140625" style="0" customWidth="1"/>
    <col min="9" max="9" width="9.57421875" style="0" customWidth="1"/>
    <col min="10" max="10" width="9.140625" style="0" customWidth="1"/>
    <col min="11" max="11" width="5.421875" style="0" customWidth="1"/>
    <col min="12" max="12" width="10.28125" style="0" customWidth="1"/>
    <col min="13" max="13" width="12.140625" style="0" customWidth="1"/>
    <col min="14" max="14" width="14.28125" style="0" customWidth="1"/>
    <col min="15" max="17" width="10.28125" style="0" customWidth="1"/>
    <col min="18" max="18" width="11.57421875" style="0" customWidth="1"/>
    <col min="19" max="19" width="13.57421875" style="0" customWidth="1"/>
    <col min="20" max="20" width="15.140625" style="0" customWidth="1"/>
  </cols>
  <sheetData>
    <row r="1" ht="13.5" thickBot="1"/>
    <row r="2" spans="1:23" s="29" customFormat="1" ht="19.5" customHeight="1" thickBot="1">
      <c r="A2" s="760" t="s">
        <v>15</v>
      </c>
      <c r="B2" s="761"/>
      <c r="C2" s="761"/>
      <c r="D2" s="761"/>
      <c r="E2" s="761"/>
      <c r="F2" s="761"/>
      <c r="G2" s="761"/>
      <c r="H2" s="761"/>
      <c r="I2" s="761"/>
      <c r="J2" s="761"/>
      <c r="K2" s="761"/>
      <c r="L2" s="761"/>
      <c r="M2" s="761"/>
      <c r="N2" s="761"/>
      <c r="O2" s="761"/>
      <c r="P2" s="761"/>
      <c r="Q2" s="761"/>
      <c r="R2" s="761"/>
      <c r="S2" s="761"/>
      <c r="T2" s="762"/>
      <c r="U2" s="30"/>
      <c r="V2" s="30"/>
      <c r="W2" s="30"/>
    </row>
    <row r="3" spans="1:19" ht="12.75" customHeight="1">
      <c r="A3" s="76"/>
      <c r="B3" s="76"/>
      <c r="C3" s="76"/>
      <c r="D3" s="76"/>
      <c r="E3" s="76"/>
      <c r="F3" s="76"/>
      <c r="G3" s="76"/>
      <c r="H3" s="76"/>
      <c r="I3" s="76"/>
      <c r="J3" s="76"/>
      <c r="K3" s="76"/>
      <c r="L3" s="76"/>
      <c r="M3" s="76"/>
      <c r="N3" s="76"/>
      <c r="O3" s="76"/>
      <c r="P3" s="76"/>
      <c r="Q3" s="76"/>
      <c r="R3" s="76"/>
      <c r="S3" s="76"/>
    </row>
    <row r="4" spans="1:252" s="89" customFormat="1" ht="11.25">
      <c r="A4" s="297" t="s">
        <v>244</v>
      </c>
      <c r="D4" s="298" t="s">
        <v>97</v>
      </c>
      <c r="E4" s="95"/>
      <c r="F4" s="95"/>
      <c r="G4" s="3"/>
      <c r="H4" s="90"/>
      <c r="I4" s="261"/>
      <c r="J4" s="85"/>
      <c r="K4" s="3"/>
      <c r="L4" s="3"/>
      <c r="M4" s="3"/>
      <c r="N4" s="3"/>
      <c r="O4" s="3"/>
      <c r="P4" s="3"/>
      <c r="Q4" s="3"/>
      <c r="R4" s="3"/>
      <c r="S4" s="353">
        <v>42019</v>
      </c>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row>
    <row r="5" spans="2:252" s="89" customFormat="1" ht="11.25">
      <c r="B5" s="296">
        <v>1</v>
      </c>
      <c r="D5" s="32" t="s">
        <v>96</v>
      </c>
      <c r="E5" s="86"/>
      <c r="F5" s="86"/>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row>
    <row r="6" spans="1:252" s="89" customFormat="1" ht="13.5" customHeight="1" thickBot="1">
      <c r="A6" s="85"/>
      <c r="B6" s="85"/>
      <c r="C6" s="85"/>
      <c r="D6" s="85"/>
      <c r="E6" s="85"/>
      <c r="F6" s="85"/>
      <c r="G6" s="85"/>
      <c r="H6" s="85"/>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row>
    <row r="7" spans="1:20" s="377" customFormat="1" ht="30" customHeight="1">
      <c r="A7" s="764" t="str">
        <f>IF(B5=1,"Base Efficiency","Existing Equipment")</f>
        <v>Base Efficiency</v>
      </c>
      <c r="B7" s="765"/>
      <c r="C7" s="766"/>
      <c r="D7" s="764" t="s">
        <v>16</v>
      </c>
      <c r="E7" s="771"/>
      <c r="F7" s="771"/>
      <c r="G7" s="771"/>
      <c r="H7" s="771"/>
      <c r="I7" s="771"/>
      <c r="J7" s="771"/>
      <c r="K7" s="771"/>
      <c r="L7" s="771"/>
      <c r="M7" s="771"/>
      <c r="N7" s="772"/>
      <c r="O7" s="744" t="s">
        <v>17</v>
      </c>
      <c r="P7" s="745"/>
      <c r="Q7" s="745"/>
      <c r="R7" s="745"/>
      <c r="S7" s="745"/>
      <c r="T7" s="746"/>
    </row>
    <row r="8" spans="1:20" s="368" customFormat="1" ht="19.5" customHeight="1">
      <c r="A8" s="422" t="s">
        <v>18</v>
      </c>
      <c r="B8" s="423" t="s">
        <v>19</v>
      </c>
      <c r="C8" s="424" t="s">
        <v>20</v>
      </c>
      <c r="D8" s="425" t="s">
        <v>21</v>
      </c>
      <c r="E8" s="426" t="s">
        <v>22</v>
      </c>
      <c r="F8" s="426" t="s">
        <v>23</v>
      </c>
      <c r="G8" s="426" t="s">
        <v>24</v>
      </c>
      <c r="H8" s="426" t="s">
        <v>25</v>
      </c>
      <c r="I8" s="426" t="s">
        <v>26</v>
      </c>
      <c r="J8" s="426" t="s">
        <v>27</v>
      </c>
      <c r="K8" s="426" t="s">
        <v>28</v>
      </c>
      <c r="L8" s="426" t="s">
        <v>29</v>
      </c>
      <c r="M8" s="426" t="s">
        <v>30</v>
      </c>
      <c r="N8" s="427" t="s">
        <v>610</v>
      </c>
      <c r="O8" s="644" t="s">
        <v>31</v>
      </c>
      <c r="P8" s="426" t="s">
        <v>32</v>
      </c>
      <c r="Q8" s="426" t="s">
        <v>33</v>
      </c>
      <c r="R8" s="426" t="s">
        <v>34</v>
      </c>
      <c r="S8" s="426" t="s">
        <v>35</v>
      </c>
      <c r="T8" s="427" t="s">
        <v>36</v>
      </c>
    </row>
    <row r="9" spans="1:20" s="366" customFormat="1" ht="72.75" customHeight="1" thickBot="1">
      <c r="A9" s="635" t="s">
        <v>593</v>
      </c>
      <c r="B9" s="636" t="str">
        <f>IF(B5=1,"Base Efficiency","Existing/Base SEER or EER")</f>
        <v>Base Efficiency</v>
      </c>
      <c r="C9" s="637" t="s">
        <v>37</v>
      </c>
      <c r="D9" s="656" t="s">
        <v>594</v>
      </c>
      <c r="E9" s="657" t="s">
        <v>595</v>
      </c>
      <c r="F9" s="657" t="s">
        <v>596</v>
      </c>
      <c r="G9" s="657" t="s">
        <v>593</v>
      </c>
      <c r="H9" s="657" t="s">
        <v>597</v>
      </c>
      <c r="I9" s="657" t="s">
        <v>598</v>
      </c>
      <c r="J9" s="657" t="s">
        <v>609</v>
      </c>
      <c r="K9" s="657" t="s">
        <v>37</v>
      </c>
      <c r="L9" s="657" t="s">
        <v>599</v>
      </c>
      <c r="M9" s="657" t="s">
        <v>600</v>
      </c>
      <c r="N9" s="658" t="s">
        <v>701</v>
      </c>
      <c r="O9" s="645" t="s">
        <v>601</v>
      </c>
      <c r="P9" s="563" t="s">
        <v>602</v>
      </c>
      <c r="Q9" s="563" t="s">
        <v>603</v>
      </c>
      <c r="R9" s="563" t="s">
        <v>604</v>
      </c>
      <c r="S9" s="563" t="s">
        <v>605</v>
      </c>
      <c r="T9" s="565" t="s">
        <v>606</v>
      </c>
    </row>
    <row r="10" spans="1:20" s="13" customFormat="1" ht="24.75" customHeight="1">
      <c r="A10" s="638">
        <v>2</v>
      </c>
      <c r="B10" s="639">
        <v>9.3</v>
      </c>
      <c r="C10" s="640">
        <v>1</v>
      </c>
      <c r="D10" s="649" t="s">
        <v>726</v>
      </c>
      <c r="E10" s="650"/>
      <c r="F10" s="650"/>
      <c r="G10" s="650">
        <v>0.5</v>
      </c>
      <c r="H10" s="651"/>
      <c r="I10" s="652">
        <f aca="true" t="shared" si="0" ref="I10:I16">IF(ISERROR(VLOOKUP($D10,$A$21:$N$37,8,FALSE)),"",VLOOKUP($D10,$A$21:$N$37,8,FALSE))</f>
        <v>10.4</v>
      </c>
      <c r="J10" s="653">
        <v>11</v>
      </c>
      <c r="K10" s="650">
        <v>1</v>
      </c>
      <c r="L10" s="650"/>
      <c r="M10" s="654"/>
      <c r="N10" s="655"/>
      <c r="O10" s="646">
        <f aca="true" t="shared" si="1" ref="O10:O16">IF(ISERROR(VLOOKUP($D10,$A$21:$N$37,10,FALSE)),"",VLOOKUP($D10,$A$21:$N$37,10,FALSE))</f>
        <v>70</v>
      </c>
      <c r="P10" s="641">
        <f>IF(ISERROR(G10*K10*O10),"",(G10*K10*O10))</f>
        <v>35</v>
      </c>
      <c r="Q10" s="642">
        <f>IF(D10="","",IF(J10-I10&lt;0,0,(J10-I10)))</f>
        <v>0.5999999999999996</v>
      </c>
      <c r="R10" s="641">
        <f aca="true" t="shared" si="2" ref="R10:R16">IF(ISERROR(VLOOKUP(D10,$A$21:$N$37,11,FALSE)),"",VLOOKUP(D10,$A$21:$N$37,11,FALSE))</f>
        <v>5</v>
      </c>
      <c r="S10" s="641">
        <f>IF(ISERROR((Q10*R10)*(G10*K10)*10),"",((Q10*R10)*(G10*K10)*10))</f>
        <v>14.999999999999991</v>
      </c>
      <c r="T10" s="643">
        <f>IF(ISERROR(P10+S10),"",(P10+S10))</f>
        <v>49.99999999999999</v>
      </c>
    </row>
    <row r="11" spans="1:20" s="13" customFormat="1" ht="24.75" customHeight="1">
      <c r="A11" s="557"/>
      <c r="B11" s="390"/>
      <c r="C11" s="402"/>
      <c r="D11" s="649"/>
      <c r="E11" s="391"/>
      <c r="F11" s="391"/>
      <c r="G11" s="391"/>
      <c r="H11" s="392"/>
      <c r="I11" s="652">
        <f t="shared" si="0"/>
      </c>
      <c r="J11" s="393"/>
      <c r="K11" s="391"/>
      <c r="L11" s="391"/>
      <c r="M11" s="394"/>
      <c r="N11" s="406"/>
      <c r="O11" s="647">
        <f t="shared" si="1"/>
      </c>
      <c r="P11" s="432">
        <f aca="true" t="shared" si="3" ref="P11:P16">IF(ISERROR(G11*K11*O11),"",(G11*K11*O11))</f>
      </c>
      <c r="Q11" s="433">
        <f aca="true" t="shared" si="4" ref="Q11:Q16">IF(D11="","",IF(J11-I11&lt;0,0,(J11-I11)))</f>
      </c>
      <c r="R11" s="432">
        <f t="shared" si="2"/>
      </c>
      <c r="S11" s="432">
        <f aca="true" t="shared" si="5" ref="S11:S16">IF(ISERROR((Q11*R11)*(G11*K11)*10),"",((Q11*R11)*(G11*K11)*10))</f>
      </c>
      <c r="T11" s="434">
        <f aca="true" t="shared" si="6" ref="T11:T16">IF(ISERROR(P11+S11),"",(P11+S11))</f>
      </c>
    </row>
    <row r="12" spans="1:20" s="13" customFormat="1" ht="24.75" customHeight="1">
      <c r="A12" s="557"/>
      <c r="B12" s="390"/>
      <c r="C12" s="402"/>
      <c r="D12" s="405"/>
      <c r="E12" s="391"/>
      <c r="F12" s="391"/>
      <c r="G12" s="391"/>
      <c r="H12" s="392"/>
      <c r="I12" s="652">
        <f t="shared" si="0"/>
      </c>
      <c r="J12" s="393"/>
      <c r="K12" s="391"/>
      <c r="L12" s="391"/>
      <c r="M12" s="394"/>
      <c r="N12" s="406"/>
      <c r="O12" s="647">
        <f t="shared" si="1"/>
      </c>
      <c r="P12" s="432">
        <f t="shared" si="3"/>
      </c>
      <c r="Q12" s="433">
        <f t="shared" si="4"/>
      </c>
      <c r="R12" s="432">
        <f t="shared" si="2"/>
      </c>
      <c r="S12" s="432">
        <f t="shared" si="5"/>
      </c>
      <c r="T12" s="434">
        <f t="shared" si="6"/>
      </c>
    </row>
    <row r="13" spans="1:20" s="13" customFormat="1" ht="24.75" customHeight="1">
      <c r="A13" s="557"/>
      <c r="B13" s="390"/>
      <c r="C13" s="402"/>
      <c r="D13" s="649"/>
      <c r="E13" s="391"/>
      <c r="F13" s="391"/>
      <c r="G13" s="391"/>
      <c r="H13" s="392"/>
      <c r="I13" s="652">
        <f t="shared" si="0"/>
      </c>
      <c r="J13" s="393"/>
      <c r="K13" s="391"/>
      <c r="L13" s="391"/>
      <c r="M13" s="394"/>
      <c r="N13" s="406"/>
      <c r="O13" s="647">
        <f t="shared" si="1"/>
      </c>
      <c r="P13" s="432">
        <f t="shared" si="3"/>
      </c>
      <c r="Q13" s="433">
        <f t="shared" si="4"/>
      </c>
      <c r="R13" s="432">
        <f t="shared" si="2"/>
      </c>
      <c r="S13" s="432">
        <f t="shared" si="5"/>
      </c>
      <c r="T13" s="434">
        <f t="shared" si="6"/>
      </c>
    </row>
    <row r="14" spans="1:20" s="13" customFormat="1" ht="24.75" customHeight="1">
      <c r="A14" s="557"/>
      <c r="B14" s="390"/>
      <c r="C14" s="402"/>
      <c r="D14" s="649"/>
      <c r="E14" s="391"/>
      <c r="F14" s="391"/>
      <c r="G14" s="391"/>
      <c r="H14" s="392"/>
      <c r="I14" s="652">
        <f t="shared" si="0"/>
      </c>
      <c r="J14" s="393"/>
      <c r="K14" s="391"/>
      <c r="L14" s="391"/>
      <c r="M14" s="394"/>
      <c r="N14" s="406"/>
      <c r="O14" s="647">
        <f t="shared" si="1"/>
      </c>
      <c r="P14" s="432">
        <f t="shared" si="3"/>
      </c>
      <c r="Q14" s="433">
        <f t="shared" si="4"/>
      </c>
      <c r="R14" s="432">
        <f t="shared" si="2"/>
      </c>
      <c r="S14" s="432">
        <f t="shared" si="5"/>
      </c>
      <c r="T14" s="434">
        <f t="shared" si="6"/>
      </c>
    </row>
    <row r="15" spans="1:20" s="13" customFormat="1" ht="24.75" customHeight="1">
      <c r="A15" s="557"/>
      <c r="B15" s="390"/>
      <c r="C15" s="402"/>
      <c r="D15" s="649"/>
      <c r="E15" s="391"/>
      <c r="F15" s="391"/>
      <c r="G15" s="391"/>
      <c r="H15" s="392"/>
      <c r="I15" s="652">
        <f t="shared" si="0"/>
      </c>
      <c r="J15" s="393"/>
      <c r="K15" s="391"/>
      <c r="L15" s="391"/>
      <c r="M15" s="394"/>
      <c r="N15" s="406"/>
      <c r="O15" s="647">
        <f t="shared" si="1"/>
      </c>
      <c r="P15" s="432">
        <f t="shared" si="3"/>
      </c>
      <c r="Q15" s="433">
        <f t="shared" si="4"/>
      </c>
      <c r="R15" s="432">
        <f t="shared" si="2"/>
      </c>
      <c r="S15" s="432">
        <f t="shared" si="5"/>
      </c>
      <c r="T15" s="434">
        <f t="shared" si="6"/>
      </c>
    </row>
    <row r="16" spans="1:20" s="13" customFormat="1" ht="24.75" customHeight="1" thickBot="1">
      <c r="A16" s="558"/>
      <c r="B16" s="403"/>
      <c r="C16" s="404"/>
      <c r="D16" s="407"/>
      <c r="E16" s="408"/>
      <c r="F16" s="408"/>
      <c r="G16" s="408"/>
      <c r="H16" s="409"/>
      <c r="I16" s="431">
        <f t="shared" si="0"/>
      </c>
      <c r="J16" s="410"/>
      <c r="K16" s="408"/>
      <c r="L16" s="408"/>
      <c r="M16" s="411"/>
      <c r="N16" s="412"/>
      <c r="O16" s="648">
        <f t="shared" si="1"/>
      </c>
      <c r="P16" s="435">
        <f t="shared" si="3"/>
      </c>
      <c r="Q16" s="436">
        <f t="shared" si="4"/>
      </c>
      <c r="R16" s="435">
        <f t="shared" si="2"/>
      </c>
      <c r="S16" s="435">
        <f t="shared" si="5"/>
      </c>
      <c r="T16" s="437">
        <f t="shared" si="6"/>
      </c>
    </row>
    <row r="17" spans="1:20" s="13" customFormat="1" ht="28.5" customHeight="1" thickBot="1">
      <c r="A17" s="667"/>
      <c r="B17" s="14"/>
      <c r="C17" s="14"/>
      <c r="D17" s="14"/>
      <c r="E17" s="14"/>
      <c r="F17" s="14"/>
      <c r="G17" s="14"/>
      <c r="H17" s="15"/>
      <c r="I17" s="16"/>
      <c r="J17" s="14"/>
      <c r="K17" s="14"/>
      <c r="L17" s="14"/>
      <c r="M17" s="14"/>
      <c r="S17" s="17" t="s">
        <v>48</v>
      </c>
      <c r="T17" s="670">
        <f>SUM(T10:T16)</f>
        <v>49.99999999999999</v>
      </c>
    </row>
    <row r="18" spans="2:9" s="11" customFormat="1" ht="8.25" customHeight="1" thickBot="1">
      <c r="B18" s="18"/>
      <c r="C18" s="18"/>
      <c r="D18" s="18"/>
      <c r="E18" s="18"/>
      <c r="F18" s="18"/>
      <c r="G18" s="18"/>
      <c r="H18" s="18"/>
      <c r="I18" s="18"/>
    </row>
    <row r="19" spans="1:20" s="11" customFormat="1" ht="12.75" customHeight="1" thickBot="1">
      <c r="A19" s="626" t="s">
        <v>49</v>
      </c>
      <c r="B19" s="627"/>
      <c r="C19" s="627"/>
      <c r="D19" s="627"/>
      <c r="E19" s="627"/>
      <c r="F19" s="627"/>
      <c r="G19" s="627"/>
      <c r="H19" s="627"/>
      <c r="I19" s="627"/>
      <c r="J19" s="627"/>
      <c r="K19" s="628"/>
      <c r="L19" s="628"/>
      <c r="M19" s="627"/>
      <c r="N19" s="627"/>
      <c r="O19" s="627"/>
      <c r="P19" s="629"/>
      <c r="R19" s="752" t="s">
        <v>50</v>
      </c>
      <c r="S19" s="753"/>
      <c r="T19" s="754"/>
    </row>
    <row r="20" spans="1:20" s="12" customFormat="1" ht="49.5" customHeight="1" thickBot="1">
      <c r="A20" s="660" t="s">
        <v>611</v>
      </c>
      <c r="B20" s="737" t="s">
        <v>52</v>
      </c>
      <c r="C20" s="737"/>
      <c r="D20" s="737"/>
      <c r="E20" s="737"/>
      <c r="F20" s="737"/>
      <c r="G20" s="738"/>
      <c r="H20" s="747" t="s">
        <v>612</v>
      </c>
      <c r="I20" s="763"/>
      <c r="J20" s="552" t="s">
        <v>613</v>
      </c>
      <c r="K20" s="740" t="s">
        <v>615</v>
      </c>
      <c r="L20" s="741"/>
      <c r="M20" s="553" t="s">
        <v>614</v>
      </c>
      <c r="N20" s="621" t="s">
        <v>536</v>
      </c>
      <c r="O20" s="747" t="s">
        <v>566</v>
      </c>
      <c r="P20" s="748"/>
      <c r="R20" s="750" t="s">
        <v>54</v>
      </c>
      <c r="S20" s="751"/>
      <c r="T20" s="634" t="s">
        <v>55</v>
      </c>
    </row>
    <row r="21" spans="1:20" s="11" customFormat="1" ht="23.25" customHeight="1">
      <c r="A21" s="661" t="s">
        <v>692</v>
      </c>
      <c r="B21" s="749" t="s">
        <v>630</v>
      </c>
      <c r="C21" s="749"/>
      <c r="D21" s="749"/>
      <c r="E21" s="622"/>
      <c r="F21" s="622"/>
      <c r="G21" s="549">
        <v>12</v>
      </c>
      <c r="H21" s="559">
        <v>14.5</v>
      </c>
      <c r="I21" s="550" t="s">
        <v>245</v>
      </c>
      <c r="J21" s="623">
        <v>70</v>
      </c>
      <c r="K21" s="742">
        <v>5</v>
      </c>
      <c r="L21" s="743"/>
      <c r="M21" s="551">
        <v>0.1</v>
      </c>
      <c r="N21" s="631">
        <v>5.4</v>
      </c>
      <c r="O21" s="767" t="s">
        <v>708</v>
      </c>
      <c r="P21" s="768"/>
      <c r="R21" s="758" t="s">
        <v>661</v>
      </c>
      <c r="S21" s="759"/>
      <c r="T21" s="632">
        <v>986</v>
      </c>
    </row>
    <row r="22" spans="1:20" s="11" customFormat="1" ht="23.25" customHeight="1">
      <c r="A22" s="662" t="s">
        <v>693</v>
      </c>
      <c r="B22" s="542" t="s">
        <v>58</v>
      </c>
      <c r="C22" s="542"/>
      <c r="D22" s="542"/>
      <c r="E22" s="542"/>
      <c r="F22" s="542"/>
      <c r="G22" s="541">
        <v>10.3</v>
      </c>
      <c r="H22" s="546">
        <v>11.8</v>
      </c>
      <c r="I22" s="547" t="s">
        <v>247</v>
      </c>
      <c r="J22" s="624">
        <v>70</v>
      </c>
      <c r="K22" s="720">
        <v>5</v>
      </c>
      <c r="L22" s="736"/>
      <c r="M22" s="548">
        <v>5.5</v>
      </c>
      <c r="N22" s="583">
        <v>11.3</v>
      </c>
      <c r="O22" s="769" t="s">
        <v>709</v>
      </c>
      <c r="P22" s="770"/>
      <c r="R22" s="758" t="s">
        <v>462</v>
      </c>
      <c r="S22" s="759"/>
      <c r="T22" s="632">
        <v>785</v>
      </c>
    </row>
    <row r="23" spans="1:20" s="11" customFormat="1" ht="23.25" customHeight="1">
      <c r="A23" s="662" t="s">
        <v>694</v>
      </c>
      <c r="B23" s="543" t="s">
        <v>84</v>
      </c>
      <c r="C23" s="543"/>
      <c r="D23" s="543"/>
      <c r="E23" s="543"/>
      <c r="F23" s="543"/>
      <c r="G23" s="544">
        <v>9.7</v>
      </c>
      <c r="H23" s="619">
        <v>12</v>
      </c>
      <c r="I23" s="547" t="s">
        <v>247</v>
      </c>
      <c r="J23" s="624">
        <v>70</v>
      </c>
      <c r="K23" s="720">
        <v>5</v>
      </c>
      <c r="L23" s="736"/>
      <c r="M23" s="548">
        <v>11.4</v>
      </c>
      <c r="N23" s="583">
        <v>20</v>
      </c>
      <c r="O23" s="769" t="s">
        <v>710</v>
      </c>
      <c r="P23" s="770"/>
      <c r="R23" s="758" t="s">
        <v>662</v>
      </c>
      <c r="S23" s="759"/>
      <c r="T23" s="632">
        <v>408</v>
      </c>
    </row>
    <row r="24" spans="1:20" s="11" customFormat="1" ht="23.25" customHeight="1">
      <c r="A24" s="662" t="s">
        <v>695</v>
      </c>
      <c r="B24" s="543" t="s">
        <v>565</v>
      </c>
      <c r="C24" s="545"/>
      <c r="D24" s="543"/>
      <c r="E24" s="543"/>
      <c r="F24" s="543"/>
      <c r="G24" s="544">
        <v>9.5</v>
      </c>
      <c r="H24" s="546">
        <v>10.6</v>
      </c>
      <c r="I24" s="547" t="s">
        <v>247</v>
      </c>
      <c r="J24" s="624">
        <v>70</v>
      </c>
      <c r="K24" s="720">
        <v>5</v>
      </c>
      <c r="L24" s="736"/>
      <c r="M24" s="548">
        <v>20.1</v>
      </c>
      <c r="N24" s="583">
        <v>63.2</v>
      </c>
      <c r="O24" s="769" t="s">
        <v>711</v>
      </c>
      <c r="P24" s="770"/>
      <c r="R24" s="758" t="s">
        <v>663</v>
      </c>
      <c r="S24" s="759"/>
      <c r="T24" s="632">
        <v>563</v>
      </c>
    </row>
    <row r="25" spans="1:20" s="11" customFormat="1" ht="23.25" customHeight="1" thickBot="1">
      <c r="A25" s="694" t="s">
        <v>696</v>
      </c>
      <c r="B25" s="542" t="s">
        <v>564</v>
      </c>
      <c r="C25" s="695"/>
      <c r="D25" s="542"/>
      <c r="E25" s="542"/>
      <c r="F25" s="542"/>
      <c r="G25" s="541">
        <v>9.2</v>
      </c>
      <c r="H25" s="672">
        <v>9.6</v>
      </c>
      <c r="I25" s="673" t="s">
        <v>247</v>
      </c>
      <c r="J25" s="674">
        <v>70</v>
      </c>
      <c r="K25" s="755">
        <v>5</v>
      </c>
      <c r="L25" s="757"/>
      <c r="M25" s="692">
        <v>63.3</v>
      </c>
      <c r="N25" s="693">
        <v>200</v>
      </c>
      <c r="O25" s="773" t="s">
        <v>567</v>
      </c>
      <c r="P25" s="774"/>
      <c r="R25" s="758" t="s">
        <v>463</v>
      </c>
      <c r="S25" s="759"/>
      <c r="T25" s="632">
        <v>865</v>
      </c>
    </row>
    <row r="26" spans="1:20" s="362" customFormat="1" ht="23.25" customHeight="1">
      <c r="A26" s="696" t="s">
        <v>715</v>
      </c>
      <c r="B26" s="697" t="s">
        <v>728</v>
      </c>
      <c r="C26" s="698"/>
      <c r="D26" s="698"/>
      <c r="E26" s="698"/>
      <c r="F26" s="698"/>
      <c r="G26" s="699"/>
      <c r="H26" s="700">
        <v>12.9</v>
      </c>
      <c r="I26" s="679" t="s">
        <v>247</v>
      </c>
      <c r="J26" s="680">
        <v>70</v>
      </c>
      <c r="K26" s="730">
        <v>5</v>
      </c>
      <c r="L26" s="731"/>
      <c r="M26" s="703"/>
      <c r="N26" s="703">
        <f>7000/12000</f>
        <v>0.5833333333333334</v>
      </c>
      <c r="O26" s="732">
        <v>11.7</v>
      </c>
      <c r="P26" s="733"/>
      <c r="R26" s="758" t="s">
        <v>464</v>
      </c>
      <c r="S26" s="759"/>
      <c r="T26" s="632">
        <v>1298</v>
      </c>
    </row>
    <row r="27" spans="1:20" s="362" customFormat="1" ht="23.25" customHeight="1">
      <c r="A27" s="664" t="s">
        <v>716</v>
      </c>
      <c r="B27" s="543" t="s">
        <v>727</v>
      </c>
      <c r="C27" s="543"/>
      <c r="D27" s="543"/>
      <c r="E27" s="543"/>
      <c r="F27" s="543"/>
      <c r="G27" s="544"/>
      <c r="H27" s="625">
        <v>11.1</v>
      </c>
      <c r="I27" s="547" t="s">
        <v>247</v>
      </c>
      <c r="J27" s="624">
        <v>70</v>
      </c>
      <c r="K27" s="720">
        <v>5</v>
      </c>
      <c r="L27" s="721"/>
      <c r="M27" s="704">
        <f>7000/12000</f>
        <v>0.5833333333333334</v>
      </c>
      <c r="N27" s="704">
        <f>15/12</f>
        <v>1.25</v>
      </c>
      <c r="O27" s="722" t="s">
        <v>739</v>
      </c>
      <c r="P27" s="723"/>
      <c r="R27" s="758" t="s">
        <v>664</v>
      </c>
      <c r="S27" s="759"/>
      <c r="T27" s="632">
        <v>754</v>
      </c>
    </row>
    <row r="28" spans="1:20" s="11" customFormat="1" ht="23.25" customHeight="1">
      <c r="A28" s="665" t="s">
        <v>717</v>
      </c>
      <c r="B28" s="543" t="s">
        <v>729</v>
      </c>
      <c r="C28" s="543"/>
      <c r="D28" s="543"/>
      <c r="E28" s="543"/>
      <c r="F28" s="543"/>
      <c r="G28" s="544">
        <v>10</v>
      </c>
      <c r="H28" s="546">
        <v>11.3</v>
      </c>
      <c r="I28" s="547" t="s">
        <v>247</v>
      </c>
      <c r="J28" s="624">
        <v>70</v>
      </c>
      <c r="K28" s="720">
        <v>5</v>
      </c>
      <c r="L28" s="721"/>
      <c r="M28" s="704">
        <f>15/12</f>
        <v>1.25</v>
      </c>
      <c r="N28" s="704"/>
      <c r="O28" s="722">
        <v>9.3</v>
      </c>
      <c r="P28" s="723"/>
      <c r="R28" s="758" t="s">
        <v>665</v>
      </c>
      <c r="S28" s="759"/>
      <c r="T28" s="632">
        <v>589</v>
      </c>
    </row>
    <row r="29" spans="1:20" s="11" customFormat="1" ht="23.25" customHeight="1">
      <c r="A29" s="671" t="s">
        <v>718</v>
      </c>
      <c r="B29" s="659" t="s">
        <v>730</v>
      </c>
      <c r="C29" s="542"/>
      <c r="D29" s="542"/>
      <c r="E29" s="542"/>
      <c r="F29" s="542"/>
      <c r="G29" s="541">
        <v>10</v>
      </c>
      <c r="H29" s="672">
        <v>10.6</v>
      </c>
      <c r="I29" s="673" t="s">
        <v>247</v>
      </c>
      <c r="J29" s="674">
        <v>70</v>
      </c>
      <c r="K29" s="755">
        <v>5</v>
      </c>
      <c r="L29" s="756"/>
      <c r="M29" s="704"/>
      <c r="N29" s="704">
        <f>7000/12000</f>
        <v>0.5833333333333334</v>
      </c>
      <c r="O29" s="722">
        <v>9.4</v>
      </c>
      <c r="P29" s="723"/>
      <c r="R29" s="758" t="s">
        <v>666</v>
      </c>
      <c r="S29" s="759"/>
      <c r="T29" s="632">
        <v>446</v>
      </c>
    </row>
    <row r="30" spans="1:20" s="11" customFormat="1" ht="23.25" customHeight="1">
      <c r="A30" s="663" t="s">
        <v>719</v>
      </c>
      <c r="B30" s="543" t="s">
        <v>731</v>
      </c>
      <c r="C30" s="581"/>
      <c r="D30" s="581"/>
      <c r="E30" s="581"/>
      <c r="F30" s="581"/>
      <c r="G30" s="620"/>
      <c r="H30" s="625">
        <v>10.8</v>
      </c>
      <c r="I30" s="547" t="s">
        <v>247</v>
      </c>
      <c r="J30" s="624">
        <v>70</v>
      </c>
      <c r="K30" s="728">
        <v>5</v>
      </c>
      <c r="L30" s="729"/>
      <c r="M30" s="704">
        <f>7000/12000</f>
        <v>0.5833333333333334</v>
      </c>
      <c r="N30" s="704">
        <f>15/12</f>
        <v>1.25</v>
      </c>
      <c r="O30" s="722" t="s">
        <v>739</v>
      </c>
      <c r="P30" s="723"/>
      <c r="Q30" s="18"/>
      <c r="R30" s="758" t="s">
        <v>667</v>
      </c>
      <c r="S30" s="759"/>
      <c r="T30" s="632">
        <v>651</v>
      </c>
    </row>
    <row r="31" spans="1:20" s="11" customFormat="1" ht="23.25" customHeight="1" thickBot="1">
      <c r="A31" s="701" t="s">
        <v>720</v>
      </c>
      <c r="B31" s="691" t="s">
        <v>732</v>
      </c>
      <c r="C31" s="681"/>
      <c r="D31" s="681"/>
      <c r="E31" s="681"/>
      <c r="F31" s="681"/>
      <c r="G31" s="682"/>
      <c r="H31" s="702">
        <v>9.7</v>
      </c>
      <c r="I31" s="684" t="s">
        <v>247</v>
      </c>
      <c r="J31" s="685">
        <v>70</v>
      </c>
      <c r="K31" s="724">
        <v>5</v>
      </c>
      <c r="L31" s="725"/>
      <c r="M31" s="705">
        <f>15/12</f>
        <v>1.25</v>
      </c>
      <c r="N31" s="705"/>
      <c r="O31" s="726">
        <v>7.7</v>
      </c>
      <c r="P31" s="727"/>
      <c r="Q31" s="18"/>
      <c r="R31" s="758" t="s">
        <v>668</v>
      </c>
      <c r="S31" s="759"/>
      <c r="T31" s="632">
        <v>1263</v>
      </c>
    </row>
    <row r="32" spans="1:20" s="11" customFormat="1" ht="23.25" customHeight="1">
      <c r="A32" s="675" t="s">
        <v>721</v>
      </c>
      <c r="B32" s="690" t="s">
        <v>733</v>
      </c>
      <c r="C32" s="676"/>
      <c r="D32" s="676"/>
      <c r="E32" s="676"/>
      <c r="F32" s="676"/>
      <c r="G32" s="677"/>
      <c r="H32" s="678">
        <v>12.7</v>
      </c>
      <c r="I32" s="679" t="s">
        <v>247</v>
      </c>
      <c r="J32" s="680">
        <v>70</v>
      </c>
      <c r="K32" s="730">
        <v>5</v>
      </c>
      <c r="L32" s="731"/>
      <c r="M32" s="703"/>
      <c r="N32" s="703">
        <f>7000/12000</f>
        <v>0.5833333333333334</v>
      </c>
      <c r="O32" s="732"/>
      <c r="P32" s="733"/>
      <c r="R32" s="758" t="s">
        <v>669</v>
      </c>
      <c r="S32" s="759"/>
      <c r="T32" s="632">
        <v>652</v>
      </c>
    </row>
    <row r="33" spans="1:20" s="11" customFormat="1" ht="23.25" customHeight="1">
      <c r="A33" s="686" t="s">
        <v>722</v>
      </c>
      <c r="B33" s="543" t="s">
        <v>734</v>
      </c>
      <c r="C33" s="543"/>
      <c r="D33" s="543"/>
      <c r="E33" s="543"/>
      <c r="F33" s="543"/>
      <c r="G33" s="544"/>
      <c r="H33" s="546">
        <v>10.9</v>
      </c>
      <c r="I33" s="547" t="s">
        <v>247</v>
      </c>
      <c r="J33" s="624">
        <v>70</v>
      </c>
      <c r="K33" s="734">
        <v>5</v>
      </c>
      <c r="L33" s="735"/>
      <c r="M33" s="704">
        <f>7000/12000</f>
        <v>0.5833333333333334</v>
      </c>
      <c r="N33" s="704">
        <f>15/12</f>
        <v>1.25</v>
      </c>
      <c r="O33" s="722"/>
      <c r="P33" s="723"/>
      <c r="R33" s="758" t="s">
        <v>670</v>
      </c>
      <c r="S33" s="759"/>
      <c r="T33" s="632">
        <v>686</v>
      </c>
    </row>
    <row r="34" spans="1:20" s="255" customFormat="1" ht="23.25" customHeight="1">
      <c r="A34" s="686" t="s">
        <v>723</v>
      </c>
      <c r="B34" s="687" t="s">
        <v>735</v>
      </c>
      <c r="C34" s="669"/>
      <c r="D34" s="669"/>
      <c r="E34" s="669"/>
      <c r="F34" s="669"/>
      <c r="G34" s="688"/>
      <c r="H34" s="689">
        <v>11.1</v>
      </c>
      <c r="I34" s="550" t="s">
        <v>247</v>
      </c>
      <c r="J34" s="623">
        <v>70</v>
      </c>
      <c r="K34" s="716">
        <v>5</v>
      </c>
      <c r="L34" s="717"/>
      <c r="M34" s="704">
        <f>15/12</f>
        <v>1.25</v>
      </c>
      <c r="N34" s="704"/>
      <c r="O34" s="718"/>
      <c r="P34" s="719"/>
      <c r="R34" s="758" t="s">
        <v>671</v>
      </c>
      <c r="S34" s="759"/>
      <c r="T34" s="632">
        <v>574</v>
      </c>
    </row>
    <row r="35" spans="1:20" s="11" customFormat="1" ht="23.25" customHeight="1" thickBot="1">
      <c r="A35" s="664" t="s">
        <v>726</v>
      </c>
      <c r="B35" s="542" t="s">
        <v>736</v>
      </c>
      <c r="C35" s="543"/>
      <c r="D35" s="543"/>
      <c r="E35" s="543"/>
      <c r="F35" s="543"/>
      <c r="G35" s="544"/>
      <c r="H35" s="625">
        <v>10.4</v>
      </c>
      <c r="I35" s="547" t="s">
        <v>247</v>
      </c>
      <c r="J35" s="624">
        <v>70</v>
      </c>
      <c r="K35" s="720">
        <v>5</v>
      </c>
      <c r="L35" s="721"/>
      <c r="M35" s="704"/>
      <c r="N35" s="704">
        <v>0.5833333333333334</v>
      </c>
      <c r="O35" s="722"/>
      <c r="P35" s="723"/>
      <c r="R35" s="775" t="s">
        <v>672</v>
      </c>
      <c r="S35" s="776"/>
      <c r="T35" s="633">
        <v>409</v>
      </c>
    </row>
    <row r="36" spans="1:20" s="11" customFormat="1" ht="23.25" customHeight="1">
      <c r="A36" s="665" t="s">
        <v>724</v>
      </c>
      <c r="B36" s="543" t="s">
        <v>737</v>
      </c>
      <c r="C36" s="543"/>
      <c r="D36" s="543"/>
      <c r="E36" s="543"/>
      <c r="F36" s="543"/>
      <c r="G36" s="544"/>
      <c r="H36" s="546">
        <v>10.6</v>
      </c>
      <c r="I36" s="547" t="s">
        <v>247</v>
      </c>
      <c r="J36" s="624">
        <v>70</v>
      </c>
      <c r="K36" s="720">
        <v>5</v>
      </c>
      <c r="L36" s="721"/>
      <c r="M36" s="704">
        <v>0.5833333333333334</v>
      </c>
      <c r="N36" s="704">
        <v>1.25</v>
      </c>
      <c r="O36" s="722"/>
      <c r="P36" s="723"/>
      <c r="R36" s="18"/>
      <c r="S36"/>
      <c r="T36"/>
    </row>
    <row r="37" spans="1:19" s="11" customFormat="1" ht="23.25" customHeight="1" thickBot="1">
      <c r="A37" s="666" t="s">
        <v>725</v>
      </c>
      <c r="B37" s="681" t="s">
        <v>738</v>
      </c>
      <c r="C37" s="681"/>
      <c r="D37" s="681"/>
      <c r="E37" s="681"/>
      <c r="F37" s="681"/>
      <c r="G37" s="682"/>
      <c r="H37" s="683">
        <v>9.5</v>
      </c>
      <c r="I37" s="684" t="s">
        <v>247</v>
      </c>
      <c r="J37" s="685">
        <v>70</v>
      </c>
      <c r="K37" s="724">
        <v>5</v>
      </c>
      <c r="L37" s="725"/>
      <c r="M37" s="705">
        <v>1.25</v>
      </c>
      <c r="N37" s="705"/>
      <c r="O37" s="726"/>
      <c r="P37" s="727"/>
      <c r="R37"/>
      <c r="S37"/>
    </row>
    <row r="38" spans="2:14" s="11" customFormat="1" ht="12.75">
      <c r="B38" s="277"/>
      <c r="C38" s="277"/>
      <c r="D38" s="277"/>
      <c r="E38" s="277"/>
      <c r="F38" s="275"/>
      <c r="G38" s="275"/>
      <c r="H38" s="275"/>
      <c r="I38" s="275"/>
      <c r="J38" s="275"/>
      <c r="K38" s="275"/>
      <c r="M38"/>
      <c r="N38"/>
    </row>
    <row r="39" spans="1:11" ht="12.75">
      <c r="A39" s="560" t="s">
        <v>539</v>
      </c>
      <c r="B39" s="362"/>
      <c r="C39" s="362"/>
      <c r="D39" s="362"/>
      <c r="E39" s="362"/>
      <c r="F39" s="362"/>
      <c r="G39" s="362"/>
      <c r="H39" s="362"/>
      <c r="I39" s="362"/>
      <c r="J39" s="362"/>
      <c r="K39" s="362"/>
    </row>
    <row r="40" spans="1:11" ht="12.75">
      <c r="A40" s="367" t="s">
        <v>607</v>
      </c>
      <c r="B40" s="362"/>
      <c r="C40" s="362"/>
      <c r="D40" s="362"/>
      <c r="E40" s="362"/>
      <c r="F40" s="362"/>
      <c r="G40" s="362"/>
      <c r="H40" s="362"/>
      <c r="I40" s="362"/>
      <c r="J40" s="362"/>
      <c r="K40" s="362"/>
    </row>
    <row r="41" spans="1:11" ht="12.75">
      <c r="A41" s="363" t="s">
        <v>608</v>
      </c>
      <c r="B41" s="362"/>
      <c r="C41" s="362"/>
      <c r="D41" s="362"/>
      <c r="E41" s="362"/>
      <c r="F41" s="362"/>
      <c r="G41" s="362"/>
      <c r="H41" s="362"/>
      <c r="I41" s="362"/>
      <c r="J41" s="362"/>
      <c r="K41" s="362"/>
    </row>
    <row r="42" spans="1:11" ht="12.75">
      <c r="A42" s="739" t="s">
        <v>673</v>
      </c>
      <c r="B42" s="739"/>
      <c r="C42" s="739"/>
      <c r="D42" s="739"/>
      <c r="E42" s="739"/>
      <c r="F42" s="739"/>
      <c r="G42" s="739"/>
      <c r="H42" s="739"/>
      <c r="I42" s="739"/>
      <c r="J42" s="739"/>
      <c r="K42" s="739"/>
    </row>
    <row r="43" spans="1:11" ht="12.75">
      <c r="A43" s="739"/>
      <c r="B43" s="739"/>
      <c r="C43" s="739"/>
      <c r="D43" s="739"/>
      <c r="E43" s="739"/>
      <c r="F43" s="739"/>
      <c r="G43" s="739"/>
      <c r="H43" s="739"/>
      <c r="I43" s="739"/>
      <c r="J43" s="739"/>
      <c r="K43" s="739"/>
    </row>
    <row r="44" spans="1:11" ht="12.75">
      <c r="A44" s="276" t="s">
        <v>568</v>
      </c>
      <c r="B44" s="561"/>
      <c r="C44" s="561"/>
      <c r="D44" s="561"/>
      <c r="E44" s="561"/>
      <c r="F44" s="561"/>
      <c r="G44" s="561"/>
      <c r="H44" s="561"/>
      <c r="I44" s="561"/>
      <c r="J44" s="561"/>
      <c r="K44" s="561"/>
    </row>
    <row r="45" spans="1:11" ht="12.75">
      <c r="A45" s="560" t="s">
        <v>62</v>
      </c>
      <c r="B45" s="275"/>
      <c r="C45" s="275"/>
      <c r="D45" s="275"/>
      <c r="E45" s="275"/>
      <c r="F45" s="275"/>
      <c r="G45" s="275"/>
      <c r="H45" s="275"/>
      <c r="I45" s="275"/>
      <c r="J45" s="275"/>
      <c r="K45" s="275"/>
    </row>
    <row r="62" ht="12.75">
      <c r="N62" s="78"/>
    </row>
    <row r="63" ht="12.75">
      <c r="L63" s="78"/>
    </row>
    <row r="64" spans="1:8" ht="12.75">
      <c r="A64" s="78"/>
      <c r="B64" s="78"/>
      <c r="C64" s="78"/>
      <c r="E64" s="78"/>
      <c r="G64" s="78"/>
      <c r="H64" s="78"/>
    </row>
    <row r="65" spans="1:8" ht="12.75">
      <c r="A65" s="79"/>
      <c r="B65" s="78"/>
      <c r="E65" s="78"/>
      <c r="H65" s="78"/>
    </row>
    <row r="66" spans="1:8" ht="12.75">
      <c r="A66" s="80"/>
      <c r="E66" s="78"/>
      <c r="G66" s="81"/>
      <c r="H66" s="78"/>
    </row>
    <row r="67" spans="1:17" ht="12.75">
      <c r="A67" s="80"/>
      <c r="E67" s="78"/>
      <c r="G67" s="81"/>
      <c r="H67" s="78"/>
      <c r="Q67" s="78"/>
    </row>
    <row r="68" spans="1:8" ht="12.75">
      <c r="A68" s="80"/>
      <c r="E68" s="78"/>
      <c r="G68" s="81"/>
      <c r="H68" s="78"/>
    </row>
    <row r="69" spans="1:7" ht="12.75">
      <c r="A69" s="80"/>
      <c r="E69" s="78"/>
      <c r="G69" s="81"/>
    </row>
    <row r="70" spans="1:5" ht="12.75">
      <c r="A70" s="80"/>
      <c r="E70" s="78"/>
    </row>
    <row r="71" spans="1:5" ht="12.75">
      <c r="A71" s="80"/>
      <c r="E71" s="78"/>
    </row>
    <row r="72" spans="1:5" ht="12.75">
      <c r="A72" s="80"/>
      <c r="E72" s="78"/>
    </row>
    <row r="73" spans="1:5" ht="12.75">
      <c r="A73" s="80"/>
      <c r="E73" s="78"/>
    </row>
    <row r="74" spans="1:5" ht="12.75">
      <c r="A74" s="80"/>
      <c r="E74" s="78"/>
    </row>
    <row r="75" spans="1:5" ht="12.75">
      <c r="A75" s="80"/>
      <c r="E75" s="78"/>
    </row>
    <row r="76" spans="1:5" ht="12.75">
      <c r="A76" s="80"/>
      <c r="E76" s="78"/>
    </row>
    <row r="77" spans="1:5" ht="12.75">
      <c r="A77" s="80"/>
      <c r="E77" s="78"/>
    </row>
    <row r="78" spans="1:5" ht="12.75">
      <c r="A78" s="80"/>
      <c r="E78" s="78"/>
    </row>
    <row r="79" spans="1:5" ht="12.75">
      <c r="A79" s="80"/>
      <c r="E79" s="78"/>
    </row>
    <row r="80" spans="1:5" ht="12.75">
      <c r="A80" s="80"/>
      <c r="E80" s="78"/>
    </row>
    <row r="81" spans="1:5" ht="12.75">
      <c r="A81" s="80"/>
      <c r="E81" s="78"/>
    </row>
    <row r="82" spans="1:5" ht="12.75">
      <c r="A82" s="80"/>
      <c r="E82" s="78"/>
    </row>
    <row r="83" spans="1:5" ht="12.75">
      <c r="A83" s="80"/>
      <c r="E83" s="78"/>
    </row>
    <row r="84" spans="1:5" ht="12.75">
      <c r="A84" s="80"/>
      <c r="E84" s="78"/>
    </row>
    <row r="85" spans="1:5" ht="12.75">
      <c r="A85" s="80"/>
      <c r="E85" s="78"/>
    </row>
    <row r="86" spans="1:5" ht="12.75">
      <c r="A86" s="80"/>
      <c r="E86" s="78"/>
    </row>
    <row r="87" spans="1:5" ht="12.75">
      <c r="A87" s="80"/>
      <c r="E87" s="78"/>
    </row>
    <row r="88" spans="1:5" ht="12.75">
      <c r="A88" s="80"/>
      <c r="E88" s="78"/>
    </row>
    <row r="89" spans="1:5" ht="12.75">
      <c r="A89" s="80"/>
      <c r="E89" s="78"/>
    </row>
    <row r="90" spans="1:5" ht="12.75">
      <c r="A90" s="80"/>
      <c r="E90" s="78"/>
    </row>
    <row r="91" spans="1:5" ht="12.75">
      <c r="A91" s="80"/>
      <c r="E91" s="78"/>
    </row>
    <row r="92" spans="1:5" ht="12.75">
      <c r="A92" s="80"/>
      <c r="E92" s="78"/>
    </row>
    <row r="93" spans="1:5" ht="12.75">
      <c r="A93" s="80"/>
      <c r="E93" s="78"/>
    </row>
    <row r="94" spans="1:5" ht="12.75">
      <c r="A94" s="80"/>
      <c r="E94" s="78"/>
    </row>
    <row r="95" spans="1:5" ht="12.75">
      <c r="A95" s="80"/>
      <c r="E95" s="78"/>
    </row>
    <row r="96" spans="1:5" ht="12.75">
      <c r="A96" s="80"/>
      <c r="E96" s="78"/>
    </row>
    <row r="97" spans="1:5" ht="12.75">
      <c r="A97" s="80"/>
      <c r="E97" s="78"/>
    </row>
    <row r="98" spans="1:5" ht="12.75">
      <c r="A98" s="80"/>
      <c r="E98" s="78"/>
    </row>
    <row r="99" spans="1:5" ht="12.75">
      <c r="A99" s="80"/>
      <c r="E99" s="78"/>
    </row>
    <row r="100" spans="1:5" ht="12.75">
      <c r="A100" s="80"/>
      <c r="E100" s="78"/>
    </row>
    <row r="101" spans="1:5" ht="12.75">
      <c r="A101" s="80"/>
      <c r="E101" s="78"/>
    </row>
    <row r="102" spans="1:5" ht="12.75">
      <c r="A102" s="79"/>
      <c r="E102" s="78"/>
    </row>
    <row r="103" ht="12.75">
      <c r="E103" s="78"/>
    </row>
    <row r="104" ht="12.75">
      <c r="E104" s="78"/>
    </row>
    <row r="105" ht="12.75">
      <c r="E105" s="78"/>
    </row>
    <row r="106" ht="12.75">
      <c r="E106" s="78"/>
    </row>
    <row r="107" ht="12.75">
      <c r="E107" s="78"/>
    </row>
    <row r="108" ht="12.75">
      <c r="E108" s="78"/>
    </row>
    <row r="109" ht="12.75">
      <c r="E109" s="78"/>
    </row>
    <row r="110" ht="12.75">
      <c r="E110" s="78"/>
    </row>
    <row r="111" ht="12.75">
      <c r="E111" s="78"/>
    </row>
    <row r="112" ht="12.75">
      <c r="E112" s="78"/>
    </row>
    <row r="113" ht="12.75">
      <c r="E113" s="78"/>
    </row>
    <row r="114" ht="12.75">
      <c r="E114" s="78"/>
    </row>
    <row r="115" ht="12.75">
      <c r="E115" s="78"/>
    </row>
    <row r="116" ht="12.75">
      <c r="E116" s="78"/>
    </row>
    <row r="117" ht="12.75">
      <c r="E117" s="78"/>
    </row>
    <row r="118" ht="12.75">
      <c r="E118" s="78"/>
    </row>
    <row r="119" ht="12.75">
      <c r="E119" s="78"/>
    </row>
    <row r="120" ht="12.75">
      <c r="E120" s="78"/>
    </row>
    <row r="121" ht="12.75">
      <c r="E121" s="78"/>
    </row>
    <row r="122" ht="12.75">
      <c r="E122" s="78"/>
    </row>
    <row r="123" ht="12.75">
      <c r="E123" s="78"/>
    </row>
    <row r="124" ht="12.75">
      <c r="E124" s="78"/>
    </row>
    <row r="125" ht="12.75">
      <c r="E125" s="78"/>
    </row>
    <row r="126" ht="12.75">
      <c r="E126" s="78"/>
    </row>
    <row r="127" ht="12.75">
      <c r="E127" s="78"/>
    </row>
    <row r="128" ht="12.75">
      <c r="E128" s="78"/>
    </row>
    <row r="129" ht="12.75">
      <c r="E129" s="78"/>
    </row>
    <row r="130" ht="12.75">
      <c r="E130" s="78"/>
    </row>
    <row r="131" ht="12.75">
      <c r="E131" s="78"/>
    </row>
    <row r="132" ht="12.75">
      <c r="E132" s="78"/>
    </row>
    <row r="133" ht="12.75">
      <c r="E133" s="78"/>
    </row>
    <row r="134" ht="12.75">
      <c r="E134" s="78"/>
    </row>
    <row r="135" ht="12.75">
      <c r="E135" s="78"/>
    </row>
    <row r="136" ht="12.75">
      <c r="E136" s="78"/>
    </row>
    <row r="137" ht="12.75">
      <c r="E137" s="78"/>
    </row>
    <row r="138" ht="12.75">
      <c r="E138" s="78"/>
    </row>
    <row r="139" ht="12.75">
      <c r="E139" s="78"/>
    </row>
    <row r="140" ht="12.75">
      <c r="E140" s="78"/>
    </row>
    <row r="141" ht="12.75">
      <c r="E141" s="78"/>
    </row>
    <row r="142" ht="12.75">
      <c r="E142" s="78"/>
    </row>
    <row r="143" ht="12.75">
      <c r="E143" s="78"/>
    </row>
    <row r="144" ht="12.75">
      <c r="E144" s="78"/>
    </row>
    <row r="145" ht="12.75">
      <c r="E145" s="78"/>
    </row>
    <row r="146" spans="2:5" ht="12.75">
      <c r="B146" s="78"/>
      <c r="E146" s="78"/>
    </row>
    <row r="147" ht="12.75">
      <c r="E147" s="78"/>
    </row>
    <row r="148" ht="12.75">
      <c r="E148" s="78"/>
    </row>
  </sheetData>
  <sheetProtection sheet="1" selectLockedCells="1"/>
  <mergeCells count="61">
    <mergeCell ref="R35:S35"/>
    <mergeCell ref="R34:S34"/>
    <mergeCell ref="R33:S33"/>
    <mergeCell ref="R32:S32"/>
    <mergeCell ref="R31:S31"/>
    <mergeCell ref="R29:S29"/>
    <mergeCell ref="R30:S30"/>
    <mergeCell ref="R28:S28"/>
    <mergeCell ref="R27:S27"/>
    <mergeCell ref="R26:S26"/>
    <mergeCell ref="R25:S25"/>
    <mergeCell ref="R24:S24"/>
    <mergeCell ref="O29:P29"/>
    <mergeCell ref="O25:P25"/>
    <mergeCell ref="O28:P28"/>
    <mergeCell ref="O24:P24"/>
    <mergeCell ref="R23:S23"/>
    <mergeCell ref="R22:S22"/>
    <mergeCell ref="A2:T2"/>
    <mergeCell ref="H20:I20"/>
    <mergeCell ref="A7:C7"/>
    <mergeCell ref="O21:P21"/>
    <mergeCell ref="O22:P22"/>
    <mergeCell ref="O23:P23"/>
    <mergeCell ref="R21:S21"/>
    <mergeCell ref="D7:N7"/>
    <mergeCell ref="O7:T7"/>
    <mergeCell ref="O20:P20"/>
    <mergeCell ref="B21:D21"/>
    <mergeCell ref="R20:S20"/>
    <mergeCell ref="R19:T19"/>
    <mergeCell ref="K29:L29"/>
    <mergeCell ref="K28:L28"/>
    <mergeCell ref="K27:L27"/>
    <mergeCell ref="K26:L26"/>
    <mergeCell ref="K25:L25"/>
    <mergeCell ref="K24:L24"/>
    <mergeCell ref="O27:P27"/>
    <mergeCell ref="O26:P26"/>
    <mergeCell ref="B20:G20"/>
    <mergeCell ref="A42:K43"/>
    <mergeCell ref="K20:L20"/>
    <mergeCell ref="K23:L23"/>
    <mergeCell ref="K22:L22"/>
    <mergeCell ref="K21:L21"/>
    <mergeCell ref="K37:L37"/>
    <mergeCell ref="O37:P37"/>
    <mergeCell ref="K30:L30"/>
    <mergeCell ref="O30:P30"/>
    <mergeCell ref="K31:L31"/>
    <mergeCell ref="O31:P31"/>
    <mergeCell ref="K32:L32"/>
    <mergeCell ref="O32:P32"/>
    <mergeCell ref="K33:L33"/>
    <mergeCell ref="O33:P33"/>
    <mergeCell ref="K34:L34"/>
    <mergeCell ref="O34:P34"/>
    <mergeCell ref="K35:L35"/>
    <mergeCell ref="O35:P35"/>
    <mergeCell ref="K36:L36"/>
    <mergeCell ref="O36:P36"/>
  </mergeCells>
  <dataValidations count="9">
    <dataValidation allowBlank="1" showInputMessage="1" prompt="Current equipment efficiencies should be used if replacing working equipment. If efficiencies are unknown, use Baseline efficiency from the Yellow box in table 1 for New Construction and unknown retrofit efficiencies" sqref="B10"/>
    <dataValidation type="decimal" operator="greaterThanOrEqual" allowBlank="1" showErrorMessage="1" errorTitle="Invalid Efficiency Rating" error="Unit SEER or EER must be equal or greater than Minimum Efficiency." sqref="J10:J16">
      <formula1>I10</formula1>
    </dataValidation>
    <dataValidation type="whole" operator="greaterThanOrEqual" allowBlank="1" showErrorMessage="1" errorTitle="Unit Quantity" error="Please enter a valid number of units!" sqref="K10:K16">
      <formula1>0</formula1>
    </dataValidation>
    <dataValidation type="whole" operator="greaterThanOrEqual" allowBlank="1" showErrorMessage="1" errorTitle="Invalid Quantity" error="Please enter the quantity of units -- a value equal to or greater than zero!" sqref="C10:C16">
      <formula1>0</formula1>
    </dataValidation>
    <dataValidation allowBlank="1" showInputMessage="1" prompt="Use Baseline efficiency from the Yellow box in table 1 for New Construction and unknown Retrofit Efficiencies" sqref="B11:B16"/>
    <dataValidation type="list" allowBlank="1" showInputMessage="1" showErrorMessage="1" sqref="D10:D16">
      <formula1>$A$21:$A$37</formula1>
    </dataValidation>
    <dataValidation type="decimal" allowBlank="1" showErrorMessage="1" errorTitle="Please check Unit Code!" error="BE SURE TO CHOOSE A UNIT CODE FIRST. &#10;If unit code is selected, then the size is out of the unit code range." sqref="A11:A16">
      <formula1>IF(OR(D11="PTAC-NC-14",D11="PTAC-R-14",D11="PTHP-NC-14",D11="PTHP-R-14"),0,VLOOKUP(D11,$A$21:$N$29,13,FALSE))</formula1>
      <formula2>IF(OR(D11="PTAC-NC-14",D11="PTAC-R-14",D11="PTHP-NC-14",D11="PTHP-R-14"),0,VLOOKUP(D11,$A$21:$N$29,14,FALSE))</formula2>
    </dataValidation>
    <dataValidation errorStyle="warning" type="decimal" allowBlank="1" showErrorMessage="1" errorTitle="Tons not in range" error="The tonnage as entered is outside the valid range, please re-enter" sqref="G10:G16">
      <formula1>IF(OR(D10="PTAC-NC-14",D10="PTAC-R-14",D10="PTHP-NC-14",D10="PTHP-R-14"),0,VLOOKUP(D10,$A$21:$N$29,13,FALSE))</formula1>
      <formula2>IF(OR(D10="PTAC-NC-14",D10="PTAC-R-14",D10="PTHP-NC-14",D10="PTHP-R-14"),0,VLOOKUP(D10,$A$21:$N$29,14,FALSE))</formula2>
    </dataValidation>
    <dataValidation type="decimal" allowBlank="1" showErrorMessage="1" errorTitle="Please check Unit Code!" error="BE SURE TO CHOOSE A UNIT CODE FIRST. &#10;If unit code is selected, then the size is out of the unit code range." sqref="A10">
      <formula1>IF(OR(D10="PTAC-NC-14",D10="PTAC-R-14",D10="PTHP-NC-14",D10="PTHP-R-14"),0,VLOOKUP(D10,$A$21:$N$29,13,FALSE))</formula1>
      <formula2>IF(OR(D10="PTAC",D10="PTHP"),30,VLOOKUP(D10,$A$21:$N$29,14,FALSE))</formula2>
    </dataValidation>
  </dataValidations>
  <printOptions horizontalCentered="1"/>
  <pageMargins left="0.2" right="0" top="0" bottom="0" header="0" footer="0"/>
  <pageSetup fitToHeight="1" fitToWidth="1" horizontalDpi="600" verticalDpi="600" orientation="landscape" scale="62" r:id="rId2"/>
  <colBreaks count="1" manualBreakCount="1">
    <brk id="15" max="44" man="1"/>
  </colBreaks>
  <legacyDrawing r:id="rId1"/>
</worksheet>
</file>

<file path=xl/worksheets/sheet4.xml><?xml version="1.0" encoding="utf-8"?>
<worksheet xmlns="http://schemas.openxmlformats.org/spreadsheetml/2006/main" xmlns:r="http://schemas.openxmlformats.org/officeDocument/2006/relationships">
  <sheetPr>
    <pageSetUpPr fitToPage="1"/>
  </sheetPr>
  <dimension ref="A2:AD42"/>
  <sheetViews>
    <sheetView zoomScale="80" zoomScaleNormal="80" zoomScalePageLayoutView="0" workbookViewId="0" topLeftCell="A1">
      <selection activeCell="B9" sqref="B9"/>
    </sheetView>
  </sheetViews>
  <sheetFormatPr defaultColWidth="9.140625" defaultRowHeight="12.75"/>
  <cols>
    <col min="1" max="1" width="8.140625" style="0" customWidth="1"/>
    <col min="2" max="2" width="6.8515625" style="0" customWidth="1"/>
    <col min="3" max="3" width="10.7109375" style="0" customWidth="1"/>
    <col min="4" max="4" width="4.8515625" style="0" customWidth="1"/>
    <col min="5" max="5" width="8.140625" style="0" customWidth="1"/>
    <col min="6" max="6" width="15.7109375" style="0" customWidth="1"/>
    <col min="7" max="7" width="16.7109375" style="0" customWidth="1"/>
    <col min="8" max="9" width="6.7109375" style="0" customWidth="1"/>
    <col min="10" max="11" width="7.421875" style="0" customWidth="1"/>
    <col min="12" max="12" width="6.8515625" style="0" customWidth="1"/>
    <col min="13" max="13" width="5.00390625" style="0" customWidth="1"/>
    <col min="14" max="14" width="10.57421875" style="0" customWidth="1"/>
    <col min="15" max="15" width="10.00390625" style="0" customWidth="1"/>
    <col min="16" max="16" width="12.7109375" style="0" customWidth="1"/>
    <col min="17" max="17" width="7.8515625" style="0" customWidth="1"/>
    <col min="18" max="18" width="9.28125" style="0" customWidth="1"/>
    <col min="19" max="19" width="10.00390625" style="0" customWidth="1"/>
    <col min="20" max="20" width="9.140625" style="0" customWidth="1"/>
    <col min="21" max="21" width="10.140625" style="0" customWidth="1"/>
    <col min="22" max="22" width="9.140625" style="0" customWidth="1"/>
    <col min="23" max="23" width="13.00390625" style="0" customWidth="1"/>
  </cols>
  <sheetData>
    <row r="1" ht="13.5" thickBot="1"/>
    <row r="2" spans="1:27" s="2" customFormat="1" ht="21" thickBot="1">
      <c r="A2" s="600" t="s">
        <v>634</v>
      </c>
      <c r="B2" s="601"/>
      <c r="C2" s="601"/>
      <c r="D2" s="601"/>
      <c r="E2" s="601"/>
      <c r="F2" s="601"/>
      <c r="G2" s="601"/>
      <c r="H2" s="601"/>
      <c r="I2" s="601"/>
      <c r="J2" s="601"/>
      <c r="K2" s="601"/>
      <c r="L2" s="601"/>
      <c r="M2" s="601"/>
      <c r="N2" s="601"/>
      <c r="O2" s="601"/>
      <c r="P2" s="601"/>
      <c r="Q2" s="601"/>
      <c r="R2" s="601"/>
      <c r="S2" s="601"/>
      <c r="T2" s="601"/>
      <c r="U2" s="601"/>
      <c r="V2" s="601"/>
      <c r="W2" s="601"/>
      <c r="X2" s="602"/>
      <c r="Y2" s="4"/>
      <c r="Z2" s="4"/>
      <c r="AA2" s="4"/>
    </row>
    <row r="3" spans="1:19" ht="17.25" customHeight="1">
      <c r="A3" s="297" t="s">
        <v>244</v>
      </c>
      <c r="B3" s="89"/>
      <c r="C3" s="89"/>
      <c r="D3" s="797" t="s">
        <v>97</v>
      </c>
      <c r="E3" s="797"/>
      <c r="F3" s="797"/>
      <c r="G3" s="76"/>
      <c r="H3" s="76"/>
      <c r="I3" s="76"/>
      <c r="J3" s="76"/>
      <c r="K3" s="76"/>
      <c r="L3" s="76"/>
      <c r="M3" s="76"/>
      <c r="N3" s="76"/>
      <c r="O3" s="76"/>
      <c r="P3" s="76"/>
      <c r="Q3" s="76"/>
      <c r="R3" s="76"/>
      <c r="S3" s="76"/>
    </row>
    <row r="4" spans="1:23" ht="12.75">
      <c r="A4" s="89"/>
      <c r="B4" s="92">
        <v>0</v>
      </c>
      <c r="C4" s="89"/>
      <c r="D4" s="798" t="s">
        <v>96</v>
      </c>
      <c r="E4" s="798"/>
      <c r="F4" s="798"/>
      <c r="G4" s="76"/>
      <c r="H4" s="76"/>
      <c r="I4" s="76"/>
      <c r="J4" s="76"/>
      <c r="K4" s="76"/>
      <c r="L4" s="76"/>
      <c r="M4" s="76"/>
      <c r="N4" s="76"/>
      <c r="O4" s="76"/>
      <c r="P4" s="76"/>
      <c r="Q4" s="76"/>
      <c r="R4" s="76"/>
      <c r="S4" s="76"/>
      <c r="W4" s="938">
        <f>'Rebate Information (Rooftops)'!S4</f>
        <v>42019</v>
      </c>
    </row>
    <row r="5" spans="1:19" ht="13.5" thickBot="1">
      <c r="A5" s="89"/>
      <c r="B5" s="92"/>
      <c r="C5" s="89"/>
      <c r="D5" s="91"/>
      <c r="E5" s="375"/>
      <c r="F5" s="375"/>
      <c r="G5" s="76"/>
      <c r="H5" s="76"/>
      <c r="I5" s="76"/>
      <c r="J5" s="76"/>
      <c r="K5" s="76"/>
      <c r="L5" s="76"/>
      <c r="M5" s="76"/>
      <c r="N5" s="76"/>
      <c r="O5" s="76"/>
      <c r="P5" s="76"/>
      <c r="Q5" s="76"/>
      <c r="R5" s="76"/>
      <c r="S5" s="76"/>
    </row>
    <row r="6" spans="1:24" s="376" customFormat="1" ht="26.25" customHeight="1">
      <c r="A6" s="764" t="str">
        <f>IF(B4=1,"Base Efficiency","EXISTING SYSTEM                             (PLEASE ENTER)")</f>
        <v>EXISTING SYSTEM                             (PLEASE ENTER)</v>
      </c>
      <c r="B6" s="771"/>
      <c r="C6" s="771"/>
      <c r="D6" s="803"/>
      <c r="E6" s="809" t="s">
        <v>16</v>
      </c>
      <c r="F6" s="745"/>
      <c r="G6" s="745"/>
      <c r="H6" s="745"/>
      <c r="I6" s="745"/>
      <c r="J6" s="745"/>
      <c r="K6" s="745"/>
      <c r="L6" s="745"/>
      <c r="M6" s="745"/>
      <c r="N6" s="745"/>
      <c r="O6" s="745"/>
      <c r="P6" s="810"/>
      <c r="Q6" s="804" t="s">
        <v>17</v>
      </c>
      <c r="R6" s="805"/>
      <c r="S6" s="805"/>
      <c r="T6" s="805"/>
      <c r="U6" s="805"/>
      <c r="V6" s="805"/>
      <c r="W6" s="805"/>
      <c r="X6" s="806"/>
    </row>
    <row r="7" spans="1:30" ht="26.25" customHeight="1">
      <c r="A7" s="438" t="s">
        <v>18</v>
      </c>
      <c r="B7" s="439" t="s">
        <v>19</v>
      </c>
      <c r="C7" s="439" t="s">
        <v>20</v>
      </c>
      <c r="D7" s="440" t="s">
        <v>21</v>
      </c>
      <c r="E7" s="438" t="s">
        <v>22</v>
      </c>
      <c r="F7" s="439" t="s">
        <v>23</v>
      </c>
      <c r="G7" s="439" t="s">
        <v>24</v>
      </c>
      <c r="H7" s="439" t="s">
        <v>25</v>
      </c>
      <c r="I7" s="439" t="s">
        <v>26</v>
      </c>
      <c r="J7" s="439" t="s">
        <v>27</v>
      </c>
      <c r="K7" s="439" t="s">
        <v>28</v>
      </c>
      <c r="L7" s="439" t="s">
        <v>29</v>
      </c>
      <c r="M7" s="439" t="s">
        <v>30</v>
      </c>
      <c r="N7" s="439" t="s">
        <v>610</v>
      </c>
      <c r="O7" s="439" t="s">
        <v>31</v>
      </c>
      <c r="P7" s="440" t="s">
        <v>32</v>
      </c>
      <c r="Q7" s="438" t="s">
        <v>33</v>
      </c>
      <c r="R7" s="439" t="s">
        <v>34</v>
      </c>
      <c r="S7" s="439" t="s">
        <v>35</v>
      </c>
      <c r="T7" s="439" t="s">
        <v>36</v>
      </c>
      <c r="U7" s="439" t="s">
        <v>624</v>
      </c>
      <c r="V7" s="439" t="s">
        <v>625</v>
      </c>
      <c r="W7" s="439" t="s">
        <v>678</v>
      </c>
      <c r="X7" s="441" t="s">
        <v>687</v>
      </c>
      <c r="Z7" s="7"/>
      <c r="AA7" s="7"/>
      <c r="AB7" s="7"/>
      <c r="AC7" s="7"/>
      <c r="AD7" s="7"/>
    </row>
    <row r="8" spans="1:30" s="12" customFormat="1" ht="81.75" customHeight="1">
      <c r="A8" s="428" t="s">
        <v>616</v>
      </c>
      <c r="B8" s="429" t="s">
        <v>593</v>
      </c>
      <c r="C8" s="429" t="str">
        <f>IF(B4=1,"Base FLV, Must use base from Table 3","Existing kW/Ton")</f>
        <v>Existing kW/Ton</v>
      </c>
      <c r="D8" s="442" t="s">
        <v>37</v>
      </c>
      <c r="E8" s="428" t="s">
        <v>616</v>
      </c>
      <c r="F8" s="429" t="s">
        <v>617</v>
      </c>
      <c r="G8" s="429" t="s">
        <v>596</v>
      </c>
      <c r="H8" s="429" t="s">
        <v>620</v>
      </c>
      <c r="I8" s="429" t="s">
        <v>699</v>
      </c>
      <c r="J8" s="429" t="s">
        <v>622</v>
      </c>
      <c r="K8" s="429" t="s">
        <v>700</v>
      </c>
      <c r="L8" s="429" t="s">
        <v>623</v>
      </c>
      <c r="M8" s="429" t="s">
        <v>37</v>
      </c>
      <c r="N8" s="429" t="s">
        <v>712</v>
      </c>
      <c r="O8" s="429" t="s">
        <v>618</v>
      </c>
      <c r="P8" s="442" t="s">
        <v>600</v>
      </c>
      <c r="Q8" s="428" t="s">
        <v>619</v>
      </c>
      <c r="R8" s="429" t="s">
        <v>628</v>
      </c>
      <c r="S8" s="429" t="s">
        <v>685</v>
      </c>
      <c r="T8" s="429" t="s">
        <v>676</v>
      </c>
      <c r="U8" s="429" t="s">
        <v>686</v>
      </c>
      <c r="V8" s="429" t="s">
        <v>677</v>
      </c>
      <c r="W8" s="429" t="s">
        <v>707</v>
      </c>
      <c r="X8" s="430" t="s">
        <v>688</v>
      </c>
      <c r="Z8" s="370"/>
      <c r="AA8" s="370"/>
      <c r="AB8" s="370"/>
      <c r="AC8" s="370"/>
      <c r="AD8" s="370"/>
    </row>
    <row r="9" spans="1:30" s="7" customFormat="1" ht="24.75" customHeight="1">
      <c r="A9" s="443">
        <f>E9</f>
        <v>0</v>
      </c>
      <c r="B9" s="395"/>
      <c r="C9" s="396"/>
      <c r="D9" s="397"/>
      <c r="E9" s="419"/>
      <c r="F9" s="401"/>
      <c r="G9" s="395"/>
      <c r="H9" s="395"/>
      <c r="I9" s="444">
        <f>IF(ISERROR(VLOOKUP($E9,$A$24:$N$29,7,FALSE)),"",VLOOKUP($E9,$A$24:$N$29,7,FALSE))</f>
      </c>
      <c r="J9" s="395"/>
      <c r="K9" s="446">
        <f>IF(ISERROR(VLOOKUP($E9,$A$24:$M$29,8,FALSE)),"",VLOOKUP($E9,$A$24:$M$29,8,FALSE))</f>
      </c>
      <c r="L9" s="395"/>
      <c r="M9" s="413"/>
      <c r="N9" s="414"/>
      <c r="O9" s="415"/>
      <c r="P9" s="597"/>
      <c r="Q9" s="448">
        <f>IF(ISERROR(VLOOKUP($E9,$A$24:$M$29,10,FALSE)),"",VLOOKUP($E9,$A$24:$M$29,10,FALSE))</f>
      </c>
      <c r="R9" s="449">
        <f aca="true" t="shared" si="0" ref="R9:R18">IF(ISERROR(H9*M9*Q9),"",(H9*M9*Q9))</f>
      </c>
      <c r="S9" s="450">
        <f>IF(E9="","",IF((I9&gt;=J9),I9-J9,0))</f>
      </c>
      <c r="T9" s="449">
        <f>IF(ISERROR(VLOOKUP($E9,$A$24:$N$29,12,FALSE)),"",VLOOKUP($E9,$A$24:$N$29,12,FALSE))</f>
      </c>
      <c r="U9" s="603">
        <f>IF(E9="","",IF((K9&gt;=L9),K9-L9,0))</f>
      </c>
      <c r="V9" s="449">
        <f>IF(ISERROR(VLOOKUP($E9,$A$24:$N$29,14,FALSE)),"",VLOOKUP($E9,$A$24:$N$29,14,FALSE))</f>
      </c>
      <c r="W9" s="449">
        <f>IF(ISERROR(((S9*T9)+(U9*V9))*(H9*M9)*100),"",(((S9*T9)+(U9*V9))*(H9*M9)*100))</f>
      </c>
      <c r="X9" s="451">
        <f aca="true" t="shared" si="1" ref="X9:X18">IF(ISERROR(R9+W9),"",(R9+W9))</f>
      </c>
      <c r="Z9"/>
      <c r="AA9"/>
      <c r="AB9" s="283"/>
      <c r="AC9"/>
      <c r="AD9"/>
    </row>
    <row r="10" spans="1:30" s="7" customFormat="1" ht="24.75" customHeight="1">
      <c r="A10" s="443">
        <f aca="true" t="shared" si="2" ref="A10:A18">E10</f>
        <v>0</v>
      </c>
      <c r="B10" s="395"/>
      <c r="C10" s="396"/>
      <c r="D10" s="397"/>
      <c r="E10" s="419"/>
      <c r="F10" s="401"/>
      <c r="G10" s="395"/>
      <c r="H10" s="395"/>
      <c r="I10" s="444">
        <f aca="true" t="shared" si="3" ref="I10:I18">IF(ISERROR(VLOOKUP($E10,$A$24:$M$29,7,FALSE)),"",VLOOKUP($E10,$A$24:$M$29,7,FALSE))</f>
      </c>
      <c r="J10" s="395"/>
      <c r="K10" s="446">
        <f aca="true" t="shared" si="4" ref="K10:K18">IF(ISERROR(VLOOKUP($E10,$A$24:$M$29,8,FALSE)),"",VLOOKUP($E10,$A$24:$M$29,8,FALSE))</f>
      </c>
      <c r="L10" s="395"/>
      <c r="M10" s="413"/>
      <c r="N10" s="414"/>
      <c r="O10" s="415"/>
      <c r="P10" s="598"/>
      <c r="Q10" s="448">
        <f aca="true" t="shared" si="5" ref="Q10:Q18">IF(ISERROR(VLOOKUP($E10,$A$24:$M$29,10,FALSE)),"",VLOOKUP($E10,$A$24:$M$29,10,FALSE))</f>
      </c>
      <c r="R10" s="449">
        <f t="shared" si="0"/>
      </c>
      <c r="S10" s="450">
        <f aca="true" t="shared" si="6" ref="S10:S18">IF(E10="","",IF((I10&gt;=J10),I10-J10,0))</f>
      </c>
      <c r="T10" s="449">
        <f aca="true" t="shared" si="7" ref="T10:T18">IF(ISERROR(VLOOKUP($E10,$A$24:$N$29,12,FALSE)),"",VLOOKUP($E10,$A$24:$N$29,12,FALSE))</f>
      </c>
      <c r="U10" s="603">
        <f aca="true" t="shared" si="8" ref="U10:U18">IF(E10="","",IF((K10&gt;=L10),K10-L10,0))</f>
      </c>
      <c r="V10" s="449">
        <f aca="true" t="shared" si="9" ref="V10:V18">IF(ISERROR(VLOOKUP($E10,$A$24:$N$29,14,FALSE)),"",VLOOKUP($E10,$A$24:$N$29,14,FALSE))</f>
      </c>
      <c r="W10" s="449">
        <f aca="true" t="shared" si="10" ref="W10:W18">IF(ISERROR(((S10*T10)+(U10*V10))*(H10*M10)*100),"",(((S10*T10)+(U10*V10))*(H10*M10)*100))</f>
      </c>
      <c r="X10" s="451">
        <f t="shared" si="1"/>
      </c>
      <c r="Z10"/>
      <c r="AA10"/>
      <c r="AB10"/>
      <c r="AC10"/>
      <c r="AD10"/>
    </row>
    <row r="11" spans="1:30" s="7" customFormat="1" ht="24.75" customHeight="1">
      <c r="A11" s="443">
        <f t="shared" si="2"/>
        <v>0</v>
      </c>
      <c r="B11" s="395"/>
      <c r="C11" s="396"/>
      <c r="D11" s="397"/>
      <c r="E11" s="419"/>
      <c r="F11" s="401"/>
      <c r="G11" s="395"/>
      <c r="H11" s="395"/>
      <c r="I11" s="444">
        <f t="shared" si="3"/>
      </c>
      <c r="J11" s="395"/>
      <c r="K11" s="446">
        <f t="shared" si="4"/>
      </c>
      <c r="L11" s="395"/>
      <c r="M11" s="413"/>
      <c r="N11" s="414"/>
      <c r="O11" s="415"/>
      <c r="P11" s="598"/>
      <c r="Q11" s="448">
        <f t="shared" si="5"/>
      </c>
      <c r="R11" s="449">
        <f t="shared" si="0"/>
      </c>
      <c r="S11" s="450">
        <f t="shared" si="6"/>
      </c>
      <c r="T11" s="449">
        <f t="shared" si="7"/>
      </c>
      <c r="U11" s="603">
        <f t="shared" si="8"/>
      </c>
      <c r="V11" s="449">
        <f t="shared" si="9"/>
      </c>
      <c r="W11" s="449">
        <f t="shared" si="10"/>
      </c>
      <c r="X11" s="451">
        <f t="shared" si="1"/>
      </c>
      <c r="Z11"/>
      <c r="AA11"/>
      <c r="AB11"/>
      <c r="AC11"/>
      <c r="AD11"/>
    </row>
    <row r="12" spans="1:30" s="7" customFormat="1" ht="24.75" customHeight="1">
      <c r="A12" s="443">
        <f t="shared" si="2"/>
        <v>0</v>
      </c>
      <c r="B12" s="395"/>
      <c r="C12" s="396"/>
      <c r="D12" s="397"/>
      <c r="E12" s="419"/>
      <c r="F12" s="401"/>
      <c r="G12" s="395"/>
      <c r="H12" s="395"/>
      <c r="I12" s="444">
        <f t="shared" si="3"/>
      </c>
      <c r="J12" s="395"/>
      <c r="K12" s="446">
        <f t="shared" si="4"/>
      </c>
      <c r="L12" s="395"/>
      <c r="M12" s="413"/>
      <c r="N12" s="414"/>
      <c r="O12" s="415"/>
      <c r="P12" s="598"/>
      <c r="Q12" s="448">
        <f t="shared" si="5"/>
      </c>
      <c r="R12" s="449">
        <f t="shared" si="0"/>
      </c>
      <c r="S12" s="450">
        <f t="shared" si="6"/>
      </c>
      <c r="T12" s="449">
        <f t="shared" si="7"/>
      </c>
      <c r="U12" s="603">
        <f t="shared" si="8"/>
      </c>
      <c r="V12" s="449">
        <f t="shared" si="9"/>
      </c>
      <c r="W12" s="449">
        <f t="shared" si="10"/>
      </c>
      <c r="X12" s="451">
        <f t="shared" si="1"/>
      </c>
      <c r="Z12"/>
      <c r="AA12"/>
      <c r="AB12"/>
      <c r="AC12"/>
      <c r="AD12"/>
    </row>
    <row r="13" spans="1:30" s="7" customFormat="1" ht="24.75" customHeight="1">
      <c r="A13" s="443">
        <f t="shared" si="2"/>
        <v>0</v>
      </c>
      <c r="B13" s="395"/>
      <c r="C13" s="396"/>
      <c r="D13" s="397"/>
      <c r="E13" s="419"/>
      <c r="F13" s="401"/>
      <c r="G13" s="395"/>
      <c r="H13" s="395"/>
      <c r="I13" s="444">
        <f t="shared" si="3"/>
      </c>
      <c r="J13" s="395"/>
      <c r="K13" s="446">
        <f t="shared" si="4"/>
      </c>
      <c r="L13" s="395"/>
      <c r="M13" s="413"/>
      <c r="N13" s="414"/>
      <c r="O13" s="415"/>
      <c r="P13" s="598"/>
      <c r="Q13" s="448">
        <f t="shared" si="5"/>
      </c>
      <c r="R13" s="449">
        <f t="shared" si="0"/>
      </c>
      <c r="S13" s="450">
        <f t="shared" si="6"/>
      </c>
      <c r="T13" s="449">
        <f t="shared" si="7"/>
      </c>
      <c r="U13" s="603">
        <f t="shared" si="8"/>
      </c>
      <c r="V13" s="449">
        <f t="shared" si="9"/>
      </c>
      <c r="W13" s="449">
        <f t="shared" si="10"/>
      </c>
      <c r="X13" s="451">
        <f t="shared" si="1"/>
      </c>
      <c r="Z13"/>
      <c r="AA13"/>
      <c r="AB13"/>
      <c r="AC13"/>
      <c r="AD13"/>
    </row>
    <row r="14" spans="1:30" s="7" customFormat="1" ht="24.75" customHeight="1">
      <c r="A14" s="443">
        <f t="shared" si="2"/>
        <v>0</v>
      </c>
      <c r="B14" s="395"/>
      <c r="C14" s="396"/>
      <c r="D14" s="397"/>
      <c r="E14" s="419"/>
      <c r="F14" s="401"/>
      <c r="G14" s="395"/>
      <c r="H14" s="395"/>
      <c r="I14" s="444">
        <f t="shared" si="3"/>
      </c>
      <c r="J14" s="395"/>
      <c r="K14" s="446">
        <f t="shared" si="4"/>
      </c>
      <c r="L14" s="395"/>
      <c r="M14" s="413"/>
      <c r="N14" s="414"/>
      <c r="O14" s="415"/>
      <c r="P14" s="598"/>
      <c r="Q14" s="448">
        <f t="shared" si="5"/>
      </c>
      <c r="R14" s="449">
        <f t="shared" si="0"/>
      </c>
      <c r="S14" s="450">
        <f t="shared" si="6"/>
      </c>
      <c r="T14" s="449">
        <f t="shared" si="7"/>
      </c>
      <c r="U14" s="603">
        <f t="shared" si="8"/>
      </c>
      <c r="V14" s="449">
        <f t="shared" si="9"/>
      </c>
      <c r="W14" s="449">
        <f t="shared" si="10"/>
      </c>
      <c r="X14" s="451">
        <f t="shared" si="1"/>
      </c>
      <c r="Z14"/>
      <c r="AA14"/>
      <c r="AB14"/>
      <c r="AC14"/>
      <c r="AD14"/>
    </row>
    <row r="15" spans="1:30" s="7" customFormat="1" ht="24.75" customHeight="1">
      <c r="A15" s="443">
        <f t="shared" si="2"/>
        <v>0</v>
      </c>
      <c r="B15" s="395"/>
      <c r="C15" s="396"/>
      <c r="D15" s="397"/>
      <c r="E15" s="419"/>
      <c r="F15" s="401"/>
      <c r="G15" s="395"/>
      <c r="H15" s="395"/>
      <c r="I15" s="444">
        <f t="shared" si="3"/>
      </c>
      <c r="J15" s="395"/>
      <c r="K15" s="446">
        <f t="shared" si="4"/>
      </c>
      <c r="L15" s="395"/>
      <c r="M15" s="413"/>
      <c r="N15" s="414"/>
      <c r="O15" s="415"/>
      <c r="P15" s="598"/>
      <c r="Q15" s="448">
        <f t="shared" si="5"/>
      </c>
      <c r="R15" s="449">
        <f t="shared" si="0"/>
      </c>
      <c r="S15" s="450">
        <f t="shared" si="6"/>
      </c>
      <c r="T15" s="449">
        <f t="shared" si="7"/>
      </c>
      <c r="U15" s="603">
        <f t="shared" si="8"/>
      </c>
      <c r="V15" s="449">
        <f t="shared" si="9"/>
      </c>
      <c r="W15" s="449">
        <f t="shared" si="10"/>
      </c>
      <c r="X15" s="451">
        <f t="shared" si="1"/>
      </c>
      <c r="Z15"/>
      <c r="AA15"/>
      <c r="AB15"/>
      <c r="AC15"/>
      <c r="AD15"/>
    </row>
    <row r="16" spans="1:30" s="7" customFormat="1" ht="24.75" customHeight="1">
      <c r="A16" s="443">
        <f t="shared" si="2"/>
        <v>0</v>
      </c>
      <c r="B16" s="395"/>
      <c r="C16" s="396"/>
      <c r="D16" s="397"/>
      <c r="E16" s="419"/>
      <c r="F16" s="401"/>
      <c r="G16" s="395"/>
      <c r="H16" s="395"/>
      <c r="I16" s="444">
        <f t="shared" si="3"/>
      </c>
      <c r="J16" s="395"/>
      <c r="K16" s="446">
        <f t="shared" si="4"/>
      </c>
      <c r="L16" s="395"/>
      <c r="M16" s="413"/>
      <c r="N16" s="414"/>
      <c r="O16" s="415"/>
      <c r="P16" s="598"/>
      <c r="Q16" s="448">
        <f t="shared" si="5"/>
      </c>
      <c r="R16" s="449">
        <f t="shared" si="0"/>
      </c>
      <c r="S16" s="450">
        <f t="shared" si="6"/>
      </c>
      <c r="T16" s="449">
        <f t="shared" si="7"/>
      </c>
      <c r="U16" s="603">
        <f t="shared" si="8"/>
      </c>
      <c r="V16" s="449">
        <f t="shared" si="9"/>
      </c>
      <c r="W16" s="449">
        <f t="shared" si="10"/>
      </c>
      <c r="X16" s="451">
        <f t="shared" si="1"/>
      </c>
      <c r="Z16"/>
      <c r="AA16"/>
      <c r="AB16"/>
      <c r="AC16"/>
      <c r="AD16"/>
    </row>
    <row r="17" spans="1:30" s="7" customFormat="1" ht="24.75" customHeight="1">
      <c r="A17" s="443">
        <f t="shared" si="2"/>
        <v>0</v>
      </c>
      <c r="B17" s="395"/>
      <c r="C17" s="396"/>
      <c r="D17" s="397"/>
      <c r="E17" s="419"/>
      <c r="F17" s="401"/>
      <c r="G17" s="395"/>
      <c r="H17" s="395"/>
      <c r="I17" s="444">
        <f t="shared" si="3"/>
      </c>
      <c r="J17" s="395"/>
      <c r="K17" s="446">
        <f t="shared" si="4"/>
      </c>
      <c r="L17" s="395"/>
      <c r="M17" s="413"/>
      <c r="N17" s="414"/>
      <c r="O17" s="415"/>
      <c r="P17" s="598"/>
      <c r="Q17" s="448">
        <f t="shared" si="5"/>
      </c>
      <c r="R17" s="449">
        <f t="shared" si="0"/>
      </c>
      <c r="S17" s="450">
        <f t="shared" si="6"/>
      </c>
      <c r="T17" s="449">
        <f t="shared" si="7"/>
      </c>
      <c r="U17" s="603">
        <f t="shared" si="8"/>
      </c>
      <c r="V17" s="449">
        <f t="shared" si="9"/>
      </c>
      <c r="W17" s="449">
        <f t="shared" si="10"/>
      </c>
      <c r="X17" s="451">
        <f t="shared" si="1"/>
      </c>
      <c r="Z17"/>
      <c r="AA17"/>
      <c r="AB17"/>
      <c r="AC17"/>
      <c r="AD17"/>
    </row>
    <row r="18" spans="1:30" s="7" customFormat="1" ht="24.75" customHeight="1" thickBot="1">
      <c r="A18" s="456">
        <f t="shared" si="2"/>
        <v>0</v>
      </c>
      <c r="B18" s="398"/>
      <c r="C18" s="399"/>
      <c r="D18" s="400"/>
      <c r="E18" s="420"/>
      <c r="F18" s="421"/>
      <c r="G18" s="398"/>
      <c r="H18" s="398"/>
      <c r="I18" s="445">
        <f t="shared" si="3"/>
      </c>
      <c r="J18" s="398"/>
      <c r="K18" s="447">
        <f t="shared" si="4"/>
      </c>
      <c r="L18" s="398"/>
      <c r="M18" s="416"/>
      <c r="N18" s="417"/>
      <c r="O18" s="418"/>
      <c r="P18" s="599"/>
      <c r="Q18" s="452">
        <f t="shared" si="5"/>
      </c>
      <c r="R18" s="453">
        <f t="shared" si="0"/>
      </c>
      <c r="S18" s="454">
        <f t="shared" si="6"/>
      </c>
      <c r="T18" s="453">
        <f t="shared" si="7"/>
      </c>
      <c r="U18" s="618">
        <f t="shared" si="8"/>
      </c>
      <c r="V18" s="453">
        <f t="shared" si="9"/>
      </c>
      <c r="W18" s="453">
        <f t="shared" si="10"/>
      </c>
      <c r="X18" s="455">
        <f t="shared" si="1"/>
      </c>
      <c r="Z18"/>
      <c r="AA18"/>
      <c r="AB18"/>
      <c r="AC18"/>
      <c r="AD18"/>
    </row>
    <row r="19" spans="1:24" ht="24.75" customHeight="1" thickBot="1">
      <c r="A19" s="20"/>
      <c r="B19" s="1"/>
      <c r="C19" s="1"/>
      <c r="D19" s="1"/>
      <c r="E19" s="1"/>
      <c r="F19" s="1"/>
      <c r="G19" s="1"/>
      <c r="H19" s="1"/>
      <c r="I19" s="8"/>
      <c r="J19" s="21"/>
      <c r="K19" s="1"/>
      <c r="L19" s="1"/>
      <c r="M19" s="1"/>
      <c r="P19" s="1"/>
      <c r="Q19" s="7"/>
      <c r="R19" s="7"/>
      <c r="T19" s="9"/>
      <c r="U19" s="9"/>
      <c r="V19" s="9" t="s">
        <v>48</v>
      </c>
      <c r="W19" s="807">
        <f>SUM(X9:X18)</f>
        <v>0</v>
      </c>
      <c r="X19" s="808"/>
    </row>
    <row r="20" spans="1:28" ht="8.25" customHeight="1">
      <c r="A20" s="371"/>
      <c r="B20" s="371"/>
      <c r="C20" s="371"/>
      <c r="D20" s="371"/>
      <c r="E20" s="371"/>
      <c r="F20" s="371"/>
      <c r="G20" s="371"/>
      <c r="H20" s="371"/>
      <c r="I20" s="371"/>
      <c r="J20" s="371"/>
      <c r="K20" s="369"/>
      <c r="L20" s="369"/>
      <c r="M20" s="369"/>
      <c r="N20" s="369"/>
      <c r="O20" s="369"/>
      <c r="P20" s="369"/>
      <c r="Q20" s="369"/>
      <c r="R20" s="369"/>
      <c r="X20" s="3"/>
      <c r="Y20" s="3"/>
      <c r="Z20" s="3"/>
      <c r="AA20" s="3"/>
      <c r="AB20" s="3"/>
    </row>
    <row r="21" spans="1:28" ht="8.25" customHeight="1" thickBot="1">
      <c r="A21" s="371"/>
      <c r="B21" s="371"/>
      <c r="C21" s="371"/>
      <c r="D21" s="371"/>
      <c r="E21" s="371"/>
      <c r="F21" s="371"/>
      <c r="G21" s="371"/>
      <c r="H21" s="371"/>
      <c r="I21" s="371"/>
      <c r="J21" s="371"/>
      <c r="K21" s="369"/>
      <c r="L21" s="369"/>
      <c r="M21" s="369"/>
      <c r="N21" s="369"/>
      <c r="O21" s="369"/>
      <c r="P21" s="369"/>
      <c r="Q21" s="369"/>
      <c r="R21" s="369"/>
      <c r="S21" s="369"/>
      <c r="X21" s="3"/>
      <c r="Y21" s="3"/>
      <c r="Z21" s="3"/>
      <c r="AA21" s="3"/>
      <c r="AB21" s="3"/>
    </row>
    <row r="22" spans="1:22" s="356" customFormat="1" ht="19.5" customHeight="1" thickBot="1">
      <c r="A22" s="781" t="s">
        <v>64</v>
      </c>
      <c r="B22" s="782"/>
      <c r="C22" s="782"/>
      <c r="D22" s="782"/>
      <c r="E22" s="782"/>
      <c r="F22" s="782"/>
      <c r="G22" s="782"/>
      <c r="H22" s="782"/>
      <c r="I22" s="782"/>
      <c r="J22" s="782"/>
      <c r="K22" s="782"/>
      <c r="L22" s="782"/>
      <c r="M22" s="782"/>
      <c r="N22" s="783"/>
      <c r="P22" s="819" t="s">
        <v>584</v>
      </c>
      <c r="Q22" s="820"/>
      <c r="R22" s="820"/>
      <c r="S22" s="820"/>
      <c r="T22" s="820"/>
      <c r="U22" s="821"/>
      <c r="V22" s="584"/>
    </row>
    <row r="23" spans="1:27" ht="39.75" customHeight="1" thickBot="1">
      <c r="A23" s="590" t="s">
        <v>51</v>
      </c>
      <c r="B23" s="784" t="s">
        <v>621</v>
      </c>
      <c r="C23" s="799"/>
      <c r="D23" s="799"/>
      <c r="E23" s="799"/>
      <c r="F23" s="785"/>
      <c r="G23" s="591" t="s">
        <v>697</v>
      </c>
      <c r="H23" s="825" t="s">
        <v>698</v>
      </c>
      <c r="I23" s="825"/>
      <c r="J23" s="825" t="s">
        <v>613</v>
      </c>
      <c r="K23" s="827"/>
      <c r="L23" s="784" t="s">
        <v>674</v>
      </c>
      <c r="M23" s="785"/>
      <c r="N23" s="592" t="s">
        <v>675</v>
      </c>
      <c r="O23" s="586"/>
      <c r="P23" s="786" t="s">
        <v>627</v>
      </c>
      <c r="Q23" s="787"/>
      <c r="R23" s="787"/>
      <c r="S23" s="787"/>
      <c r="T23" s="822" t="s">
        <v>55</v>
      </c>
      <c r="U23" s="823"/>
      <c r="V23" s="585"/>
      <c r="W23" s="604"/>
      <c r="Y23" s="3"/>
      <c r="Z23" s="3"/>
      <c r="AA23" s="3"/>
    </row>
    <row r="24" spans="1:27" ht="12.75">
      <c r="A24" s="588" t="s">
        <v>679</v>
      </c>
      <c r="B24" s="800" t="s">
        <v>561</v>
      </c>
      <c r="C24" s="801"/>
      <c r="D24" s="801"/>
      <c r="E24" s="801"/>
      <c r="F24" s="802"/>
      <c r="G24" s="555">
        <v>0.74</v>
      </c>
      <c r="H24" s="826">
        <v>0.63</v>
      </c>
      <c r="I24" s="826"/>
      <c r="J24" s="828">
        <v>15</v>
      </c>
      <c r="K24" s="829"/>
      <c r="L24" s="779">
        <v>2</v>
      </c>
      <c r="M24" s="780"/>
      <c r="N24" s="593">
        <v>2</v>
      </c>
      <c r="O24" s="587"/>
      <c r="P24" s="791" t="s">
        <v>661</v>
      </c>
      <c r="Q24" s="759"/>
      <c r="R24" s="759"/>
      <c r="S24" s="792"/>
      <c r="T24" s="795">
        <v>986</v>
      </c>
      <c r="U24" s="796"/>
      <c r="V24" s="260"/>
      <c r="W24" s="604"/>
      <c r="Y24" s="3"/>
      <c r="Z24" s="3"/>
      <c r="AA24" s="3"/>
    </row>
    <row r="25" spans="1:23" ht="12.75">
      <c r="A25" s="588" t="s">
        <v>680</v>
      </c>
      <c r="B25" s="788" t="s">
        <v>562</v>
      </c>
      <c r="C25" s="789"/>
      <c r="D25" s="789"/>
      <c r="E25" s="789"/>
      <c r="F25" s="790"/>
      <c r="G25" s="554">
        <v>0.67</v>
      </c>
      <c r="H25" s="824">
        <v>0.58</v>
      </c>
      <c r="I25" s="824"/>
      <c r="J25" s="815">
        <v>15</v>
      </c>
      <c r="K25" s="816"/>
      <c r="L25" s="777">
        <v>2</v>
      </c>
      <c r="M25" s="778"/>
      <c r="N25" s="594">
        <v>2</v>
      </c>
      <c r="O25" s="587"/>
      <c r="P25" s="791" t="s">
        <v>462</v>
      </c>
      <c r="Q25" s="759" t="s">
        <v>388</v>
      </c>
      <c r="R25" s="759"/>
      <c r="S25" s="792"/>
      <c r="T25" s="795">
        <v>785</v>
      </c>
      <c r="U25" s="796"/>
      <c r="V25" s="260"/>
      <c r="W25" s="604"/>
    </row>
    <row r="26" spans="1:23" ht="12.75">
      <c r="A26" s="588" t="s">
        <v>681</v>
      </c>
      <c r="B26" s="788" t="s">
        <v>563</v>
      </c>
      <c r="C26" s="789"/>
      <c r="D26" s="789"/>
      <c r="E26" s="789"/>
      <c r="F26" s="790"/>
      <c r="G26" s="554">
        <v>0.59</v>
      </c>
      <c r="H26" s="824">
        <v>0.52</v>
      </c>
      <c r="I26" s="824"/>
      <c r="J26" s="815">
        <v>15</v>
      </c>
      <c r="K26" s="816"/>
      <c r="L26" s="777">
        <v>2</v>
      </c>
      <c r="M26" s="778"/>
      <c r="N26" s="594">
        <v>2</v>
      </c>
      <c r="O26" s="587"/>
      <c r="P26" s="791" t="s">
        <v>662</v>
      </c>
      <c r="Q26" s="759" t="s">
        <v>402</v>
      </c>
      <c r="R26" s="759"/>
      <c r="S26" s="792"/>
      <c r="T26" s="795">
        <v>408</v>
      </c>
      <c r="U26" s="796"/>
      <c r="V26" s="260"/>
      <c r="W26" s="604"/>
    </row>
    <row r="27" spans="1:23" ht="12.75">
      <c r="A27" s="588" t="s">
        <v>682</v>
      </c>
      <c r="B27" s="788" t="s">
        <v>86</v>
      </c>
      <c r="C27" s="789"/>
      <c r="D27" s="789"/>
      <c r="E27" s="789"/>
      <c r="F27" s="790"/>
      <c r="G27" s="554">
        <v>0.69</v>
      </c>
      <c r="H27" s="824">
        <v>0.65</v>
      </c>
      <c r="I27" s="824"/>
      <c r="J27" s="815">
        <v>15</v>
      </c>
      <c r="K27" s="816"/>
      <c r="L27" s="777">
        <v>2</v>
      </c>
      <c r="M27" s="778"/>
      <c r="N27" s="594">
        <v>2</v>
      </c>
      <c r="O27" s="587"/>
      <c r="P27" s="791" t="s">
        <v>663</v>
      </c>
      <c r="Q27" s="759" t="s">
        <v>463</v>
      </c>
      <c r="R27" s="759"/>
      <c r="S27" s="792"/>
      <c r="T27" s="795">
        <v>563</v>
      </c>
      <c r="U27" s="796"/>
      <c r="V27" s="260"/>
      <c r="W27" s="604"/>
    </row>
    <row r="28" spans="1:23" ht="12.75">
      <c r="A28" s="588" t="s">
        <v>683</v>
      </c>
      <c r="B28" s="788" t="s">
        <v>87</v>
      </c>
      <c r="C28" s="789"/>
      <c r="D28" s="789"/>
      <c r="E28" s="789"/>
      <c r="F28" s="790"/>
      <c r="G28" s="554">
        <v>0.62</v>
      </c>
      <c r="H28" s="824">
        <v>0.58</v>
      </c>
      <c r="I28" s="824"/>
      <c r="J28" s="815">
        <v>15</v>
      </c>
      <c r="K28" s="816"/>
      <c r="L28" s="777">
        <v>2</v>
      </c>
      <c r="M28" s="778"/>
      <c r="N28" s="594">
        <v>2</v>
      </c>
      <c r="O28" s="587"/>
      <c r="P28" s="791" t="s">
        <v>463</v>
      </c>
      <c r="Q28" s="759" t="s">
        <v>464</v>
      </c>
      <c r="R28" s="759"/>
      <c r="S28" s="792"/>
      <c r="T28" s="795">
        <v>865</v>
      </c>
      <c r="U28" s="796"/>
      <c r="V28" s="260"/>
      <c r="W28" s="604"/>
    </row>
    <row r="29" spans="1:22" ht="13.5" thickBot="1">
      <c r="A29" s="596" t="s">
        <v>684</v>
      </c>
      <c r="B29" s="830" t="s">
        <v>88</v>
      </c>
      <c r="C29" s="831"/>
      <c r="D29" s="831"/>
      <c r="E29" s="831"/>
      <c r="F29" s="832"/>
      <c r="G29" s="589">
        <v>0.56</v>
      </c>
      <c r="H29" s="835">
        <v>0.53</v>
      </c>
      <c r="I29" s="835"/>
      <c r="J29" s="833">
        <v>15</v>
      </c>
      <c r="K29" s="834"/>
      <c r="L29" s="817">
        <v>2</v>
      </c>
      <c r="M29" s="818"/>
      <c r="N29" s="595">
        <v>2</v>
      </c>
      <c r="O29" s="587"/>
      <c r="P29" s="791" t="s">
        <v>464</v>
      </c>
      <c r="Q29" s="759"/>
      <c r="R29" s="759"/>
      <c r="S29" s="792"/>
      <c r="T29" s="795">
        <v>1298</v>
      </c>
      <c r="U29" s="796"/>
      <c r="V29" s="260"/>
    </row>
    <row r="30" spans="1:28" s="3" customFormat="1" ht="12.75" customHeight="1">
      <c r="A30" s="369"/>
      <c r="B30" s="369"/>
      <c r="C30" s="369"/>
      <c r="D30" s="369"/>
      <c r="E30" s="369"/>
      <c r="F30" s="369"/>
      <c r="G30" s="369"/>
      <c r="H30" s="369"/>
      <c r="I30" s="369"/>
      <c r="J30" s="369"/>
      <c r="K30" s="369"/>
      <c r="L30" s="369"/>
      <c r="M30" s="369"/>
      <c r="N30" s="369"/>
      <c r="O30" s="369"/>
      <c r="P30" s="791" t="s">
        <v>664</v>
      </c>
      <c r="Q30" s="759"/>
      <c r="R30" s="759"/>
      <c r="S30" s="792"/>
      <c r="T30" s="795">
        <v>754</v>
      </c>
      <c r="U30" s="796"/>
      <c r="V30" s="260"/>
      <c r="W30" s="605"/>
      <c r="Y30"/>
      <c r="Z30"/>
      <c r="AA30"/>
      <c r="AB30"/>
    </row>
    <row r="31" spans="1:28" s="3" customFormat="1" ht="12.75">
      <c r="A31" s="369" t="s">
        <v>85</v>
      </c>
      <c r="B31" s="369"/>
      <c r="C31" s="369"/>
      <c r="D31" s="369"/>
      <c r="E31" s="369"/>
      <c r="F31" s="369"/>
      <c r="G31" s="369"/>
      <c r="H31" s="369"/>
      <c r="I31" s="369"/>
      <c r="J31" s="369"/>
      <c r="K31" s="369"/>
      <c r="L31" s="369"/>
      <c r="M31" s="369"/>
      <c r="N31" s="372"/>
      <c r="O31" s="372"/>
      <c r="P31" s="791" t="s">
        <v>665</v>
      </c>
      <c r="Q31" s="759"/>
      <c r="R31" s="759"/>
      <c r="S31" s="792"/>
      <c r="T31" s="795">
        <v>589</v>
      </c>
      <c r="U31" s="796"/>
      <c r="V31" s="260"/>
      <c r="Y31"/>
      <c r="Z31"/>
      <c r="AA31"/>
      <c r="AB31"/>
    </row>
    <row r="32" spans="1:29" s="3" customFormat="1" ht="12.75">
      <c r="A32" s="369"/>
      <c r="B32" s="369"/>
      <c r="C32" s="369"/>
      <c r="D32" s="369"/>
      <c r="E32" s="369"/>
      <c r="F32" s="369"/>
      <c r="G32" s="369"/>
      <c r="H32" s="369"/>
      <c r="I32" s="369"/>
      <c r="J32" s="369"/>
      <c r="K32" s="369"/>
      <c r="L32" s="369"/>
      <c r="M32" s="369"/>
      <c r="N32" s="372"/>
      <c r="O32" s="372"/>
      <c r="P32" s="791" t="s">
        <v>666</v>
      </c>
      <c r="Q32" s="759"/>
      <c r="R32" s="759"/>
      <c r="S32" s="792"/>
      <c r="T32" s="795">
        <v>446</v>
      </c>
      <c r="U32" s="796"/>
      <c r="V32" s="260"/>
      <c r="Y32"/>
      <c r="Z32"/>
      <c r="AA32"/>
      <c r="AB32"/>
      <c r="AC32"/>
    </row>
    <row r="33" spans="1:29" s="3" customFormat="1" ht="15" customHeight="1">
      <c r="A33" s="374" t="s">
        <v>626</v>
      </c>
      <c r="B33" s="369"/>
      <c r="C33" s="369"/>
      <c r="D33" s="369"/>
      <c r="E33" s="369"/>
      <c r="F33" s="369"/>
      <c r="G33" s="369"/>
      <c r="H33" s="369"/>
      <c r="I33" s="369"/>
      <c r="J33" s="369"/>
      <c r="K33" s="369"/>
      <c r="L33" s="369"/>
      <c r="M33" s="369"/>
      <c r="N33" s="372"/>
      <c r="O33" s="372"/>
      <c r="P33" s="791" t="s">
        <v>667</v>
      </c>
      <c r="Q33" s="759"/>
      <c r="R33" s="759"/>
      <c r="S33" s="792"/>
      <c r="T33" s="795">
        <v>651</v>
      </c>
      <c r="U33" s="796"/>
      <c r="V33" s="260"/>
      <c r="Y33"/>
      <c r="Z33"/>
      <c r="AA33"/>
      <c r="AB33"/>
      <c r="AC33"/>
    </row>
    <row r="34" spans="1:29" s="3" customFormat="1" ht="15" customHeight="1">
      <c r="A34" s="814" t="s">
        <v>90</v>
      </c>
      <c r="B34" s="814"/>
      <c r="C34" s="814"/>
      <c r="D34" s="814"/>
      <c r="E34" s="814"/>
      <c r="F34" s="814"/>
      <c r="G34" s="814"/>
      <c r="H34" s="814"/>
      <c r="I34" s="814"/>
      <c r="J34" s="814"/>
      <c r="K34" s="814"/>
      <c r="L34" s="814"/>
      <c r="M34" s="814"/>
      <c r="N34" s="814"/>
      <c r="O34" s="582"/>
      <c r="P34" s="791" t="s">
        <v>668</v>
      </c>
      <c r="Q34" s="759"/>
      <c r="R34" s="759"/>
      <c r="S34" s="792"/>
      <c r="T34" s="795">
        <v>1263</v>
      </c>
      <c r="U34" s="796"/>
      <c r="V34" s="260"/>
      <c r="Y34"/>
      <c r="Z34"/>
      <c r="AA34"/>
      <c r="AB34"/>
      <c r="AC34"/>
    </row>
    <row r="35" spans="1:22" ht="12.75">
      <c r="A35" s="814"/>
      <c r="B35" s="814"/>
      <c r="C35" s="814"/>
      <c r="D35" s="814"/>
      <c r="E35" s="814"/>
      <c r="F35" s="814"/>
      <c r="G35" s="814"/>
      <c r="H35" s="814"/>
      <c r="I35" s="814"/>
      <c r="J35" s="814"/>
      <c r="K35" s="814"/>
      <c r="L35" s="814"/>
      <c r="M35" s="814"/>
      <c r="N35" s="814"/>
      <c r="O35" s="582"/>
      <c r="P35" s="791" t="s">
        <v>669</v>
      </c>
      <c r="Q35" s="759"/>
      <c r="R35" s="759"/>
      <c r="S35" s="792"/>
      <c r="T35" s="795">
        <v>652</v>
      </c>
      <c r="U35" s="796"/>
      <c r="V35" s="260"/>
    </row>
    <row r="36" spans="14:22" ht="12.75">
      <c r="N36" s="369"/>
      <c r="O36" s="369"/>
      <c r="P36" s="791" t="s">
        <v>670</v>
      </c>
      <c r="Q36" s="759"/>
      <c r="R36" s="759"/>
      <c r="S36" s="792"/>
      <c r="T36" s="795">
        <v>686</v>
      </c>
      <c r="U36" s="796"/>
      <c r="V36" s="260"/>
    </row>
    <row r="37" spans="16:22" ht="12.75">
      <c r="P37" s="791" t="s">
        <v>671</v>
      </c>
      <c r="Q37" s="759"/>
      <c r="R37" s="759"/>
      <c r="S37" s="792"/>
      <c r="T37" s="836">
        <v>574</v>
      </c>
      <c r="U37" s="837"/>
      <c r="V37" s="260"/>
    </row>
    <row r="38" spans="16:22" ht="13.5" thickBot="1">
      <c r="P38" s="811" t="s">
        <v>672</v>
      </c>
      <c r="Q38" s="812"/>
      <c r="R38" s="812"/>
      <c r="S38" s="813"/>
      <c r="T38" s="793">
        <v>409</v>
      </c>
      <c r="U38" s="794"/>
      <c r="V38" s="260"/>
    </row>
    <row r="39" spans="15:21" ht="12.75">
      <c r="O39" s="373"/>
      <c r="P39" s="373"/>
      <c r="Q39" s="373"/>
      <c r="R39" s="369"/>
      <c r="S39" s="369"/>
      <c r="T39" s="3"/>
      <c r="U39" s="3"/>
    </row>
    <row r="40" spans="15:21" ht="12.75">
      <c r="O40" s="371"/>
      <c r="P40" s="371"/>
      <c r="Q40" s="371"/>
      <c r="R40" s="369"/>
      <c r="S40" s="369"/>
      <c r="T40" s="3"/>
      <c r="U40" s="3"/>
    </row>
    <row r="41" spans="15:19" ht="12.75">
      <c r="O41" s="369"/>
      <c r="P41" s="369"/>
      <c r="Q41" s="369"/>
      <c r="R41" s="369"/>
      <c r="S41" s="369"/>
    </row>
    <row r="42" spans="15:19" ht="12.75">
      <c r="O42" s="369"/>
      <c r="P42" s="369"/>
      <c r="Q42" s="369"/>
      <c r="R42" s="369"/>
      <c r="S42" s="369"/>
    </row>
  </sheetData>
  <sheetProtection sheet="1" selectLockedCells="1"/>
  <mergeCells count="69">
    <mergeCell ref="T27:U27"/>
    <mergeCell ref="T28:U28"/>
    <mergeCell ref="T29:U29"/>
    <mergeCell ref="T30:U30"/>
    <mergeCell ref="T37:U37"/>
    <mergeCell ref="P27:S27"/>
    <mergeCell ref="P28:S28"/>
    <mergeCell ref="P29:S29"/>
    <mergeCell ref="P30:S30"/>
    <mergeCell ref="P37:S37"/>
    <mergeCell ref="L27:M27"/>
    <mergeCell ref="H28:I28"/>
    <mergeCell ref="J29:K29"/>
    <mergeCell ref="J28:K28"/>
    <mergeCell ref="H27:I27"/>
    <mergeCell ref="H29:I29"/>
    <mergeCell ref="J25:K25"/>
    <mergeCell ref="H25:I25"/>
    <mergeCell ref="J27:K27"/>
    <mergeCell ref="B27:F27"/>
    <mergeCell ref="B28:F28"/>
    <mergeCell ref="B29:F29"/>
    <mergeCell ref="P22:U22"/>
    <mergeCell ref="T23:U23"/>
    <mergeCell ref="T24:U24"/>
    <mergeCell ref="H26:I26"/>
    <mergeCell ref="T25:U25"/>
    <mergeCell ref="T26:U26"/>
    <mergeCell ref="H23:I23"/>
    <mergeCell ref="H24:I24"/>
    <mergeCell ref="J23:K23"/>
    <mergeCell ref="J24:K24"/>
    <mergeCell ref="E6:P6"/>
    <mergeCell ref="P38:S38"/>
    <mergeCell ref="A34:N35"/>
    <mergeCell ref="P31:S31"/>
    <mergeCell ref="P32:S32"/>
    <mergeCell ref="P33:S33"/>
    <mergeCell ref="J26:K26"/>
    <mergeCell ref="P24:S24"/>
    <mergeCell ref="P36:S36"/>
    <mergeCell ref="L29:M29"/>
    <mergeCell ref="D3:F3"/>
    <mergeCell ref="D4:F4"/>
    <mergeCell ref="B23:F23"/>
    <mergeCell ref="B24:F24"/>
    <mergeCell ref="A6:D6"/>
    <mergeCell ref="P35:S35"/>
    <mergeCell ref="P34:S34"/>
    <mergeCell ref="Q6:X6"/>
    <mergeCell ref="W19:X19"/>
    <mergeCell ref="L28:M28"/>
    <mergeCell ref="T38:U38"/>
    <mergeCell ref="T31:U31"/>
    <mergeCell ref="T32:U32"/>
    <mergeCell ref="T33:U33"/>
    <mergeCell ref="T34:U34"/>
    <mergeCell ref="T35:U35"/>
    <mergeCell ref="T36:U36"/>
    <mergeCell ref="L26:M26"/>
    <mergeCell ref="L25:M25"/>
    <mergeCell ref="L24:M24"/>
    <mergeCell ref="A22:N22"/>
    <mergeCell ref="L23:M23"/>
    <mergeCell ref="P23:S23"/>
    <mergeCell ref="B25:F25"/>
    <mergeCell ref="B26:F26"/>
    <mergeCell ref="P25:S25"/>
    <mergeCell ref="P26:S26"/>
  </mergeCells>
  <dataValidations count="4">
    <dataValidation type="list" allowBlank="1" showInputMessage="1" showErrorMessage="1" prompt="Current equipment efficiencies should be used if replacing working equipment. If efficiencies are unknown, use baseline efficiency from  table 3 for new Construction and unknown retrofit efficiencies" sqref="C9">
      <formula1>kw_ton</formula1>
    </dataValidation>
    <dataValidation type="whole" operator="greaterThanOrEqual" allowBlank="1" showErrorMessage="1" errorTitle="Enter Quantity" error="Please enter the quantity of units - a value equal or greater than zero!" sqref="D9:D18">
      <formula1>0</formula1>
    </dataValidation>
    <dataValidation type="list" allowBlank="1" showInputMessage="1" showErrorMessage="1" sqref="C10:C18">
      <formula1>kw_ton</formula1>
    </dataValidation>
    <dataValidation type="list" allowBlank="1" showInputMessage="1" showErrorMessage="1" sqref="E9:E18">
      <formula1>Unit_Code_Chillers</formula1>
    </dataValidation>
  </dataValidations>
  <printOptions horizontalCentered="1"/>
  <pageMargins left="0.2" right="0.1" top="0.5" bottom="0.25" header="0.5" footer="0.5"/>
  <pageSetup fitToHeight="1" fitToWidth="1" horizontalDpi="600" verticalDpi="600" orientation="landscape" scale="62" r:id="rId3"/>
  <ignoredErrors>
    <ignoredError sqref="A9" unlockedFormula="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AB35"/>
  <sheetViews>
    <sheetView zoomScale="85" zoomScaleNormal="85" zoomScalePageLayoutView="0" workbookViewId="0" topLeftCell="A1">
      <selection activeCell="M28" sqref="M28:N28"/>
    </sheetView>
  </sheetViews>
  <sheetFormatPr defaultColWidth="9.140625" defaultRowHeight="12.75"/>
  <cols>
    <col min="1" max="1" width="8.421875" style="0" customWidth="1"/>
    <col min="2" max="2" width="9.140625" style="0" customWidth="1"/>
    <col min="3" max="3" width="11.00390625" style="0" customWidth="1"/>
    <col min="4" max="4" width="9.57421875" style="0" customWidth="1"/>
    <col min="5" max="5" width="8.57421875" style="0" customWidth="1"/>
    <col min="6" max="6" width="11.8515625" style="0" customWidth="1"/>
    <col min="7" max="7" width="13.7109375" style="0" customWidth="1"/>
    <col min="8" max="8" width="15.28125" style="0" customWidth="1"/>
    <col min="9" max="9" width="31.421875" style="0" bestFit="1" customWidth="1"/>
    <col min="10" max="10" width="9.8515625" style="0" bestFit="1" customWidth="1"/>
    <col min="11" max="11" width="9.57421875" style="0" bestFit="1" customWidth="1"/>
    <col min="12" max="12" width="8.421875" style="0" customWidth="1"/>
    <col min="13" max="13" width="11.00390625" style="0" customWidth="1"/>
    <col min="14" max="14" width="10.57421875" style="0" customWidth="1"/>
    <col min="15" max="15" width="10.7109375" style="0" customWidth="1"/>
    <col min="16" max="21" width="12.8515625" style="0" customWidth="1"/>
  </cols>
  <sheetData>
    <row r="2" spans="1:26" s="2" customFormat="1" ht="20.25">
      <c r="A2" s="838" t="s">
        <v>92</v>
      </c>
      <c r="B2" s="839"/>
      <c r="C2" s="839"/>
      <c r="D2" s="839"/>
      <c r="E2" s="839"/>
      <c r="F2" s="839"/>
      <c r="G2" s="839"/>
      <c r="H2" s="839"/>
      <c r="I2" s="839"/>
      <c r="J2" s="839"/>
      <c r="K2" s="839"/>
      <c r="L2" s="839"/>
      <c r="M2" s="839"/>
      <c r="N2" s="839"/>
      <c r="O2" s="839"/>
      <c r="P2" s="839"/>
      <c r="Q2" s="839"/>
      <c r="R2" s="839"/>
      <c r="S2" s="839"/>
      <c r="T2" s="840"/>
      <c r="U2" s="4"/>
      <c r="V2" s="4"/>
      <c r="W2" s="4"/>
      <c r="X2" s="4"/>
      <c r="Y2" s="4"/>
      <c r="Z2" s="4"/>
    </row>
    <row r="3" spans="1:20" ht="17.25" customHeight="1">
      <c r="A3" s="297" t="s">
        <v>244</v>
      </c>
      <c r="B3" s="89"/>
      <c r="C3" s="89"/>
      <c r="D3" s="797" t="s">
        <v>97</v>
      </c>
      <c r="E3" s="797"/>
      <c r="F3" s="797"/>
      <c r="G3" s="76"/>
      <c r="H3" s="76"/>
      <c r="I3" s="76"/>
      <c r="J3" s="76"/>
      <c r="K3" s="76"/>
      <c r="L3" s="76"/>
      <c r="M3" s="76"/>
      <c r="N3" s="76"/>
      <c r="O3" s="76"/>
      <c r="P3" s="76"/>
      <c r="Q3" s="76"/>
      <c r="R3" s="76"/>
      <c r="S3" s="76"/>
      <c r="T3" s="76"/>
    </row>
    <row r="4" spans="1:20" ht="12.75">
      <c r="A4" s="89"/>
      <c r="B4" s="92">
        <v>2</v>
      </c>
      <c r="C4" s="89"/>
      <c r="D4" s="798" t="s">
        <v>96</v>
      </c>
      <c r="E4" s="798"/>
      <c r="F4" s="798"/>
      <c r="G4" s="76"/>
      <c r="H4" s="76"/>
      <c r="I4" s="76"/>
      <c r="J4" s="76"/>
      <c r="K4" s="76"/>
      <c r="L4" s="76"/>
      <c r="M4" s="76"/>
      <c r="N4" s="76"/>
      <c r="O4" s="76"/>
      <c r="P4" s="76"/>
      <c r="Q4" s="76"/>
      <c r="R4" s="76"/>
      <c r="S4" s="76"/>
      <c r="T4" s="76"/>
    </row>
    <row r="5" spans="1:20" ht="12.75">
      <c r="A5" s="89"/>
      <c r="B5" s="92"/>
      <c r="C5" s="89"/>
      <c r="D5" s="91"/>
      <c r="E5" s="94"/>
      <c r="F5" s="94"/>
      <c r="G5" s="77"/>
      <c r="H5" s="77"/>
      <c r="I5" s="77"/>
      <c r="J5" s="77"/>
      <c r="K5" s="77"/>
      <c r="L5" s="77"/>
      <c r="M5" s="77"/>
      <c r="N5" s="77"/>
      <c r="O5" s="77"/>
      <c r="P5" s="77"/>
      <c r="Q5" s="77"/>
      <c r="R5" s="77"/>
      <c r="S5" s="77"/>
      <c r="T5" s="77"/>
    </row>
    <row r="6" spans="1:20" ht="26.25" customHeight="1">
      <c r="A6" s="844" t="str">
        <f>IF(B4=1,"Base Efficiency","EXISTING SYSTEM                             (PLEASE ENTER)")</f>
        <v>EXISTING SYSTEM                             (PLEASE ENTER)</v>
      </c>
      <c r="B6" s="845"/>
      <c r="C6" s="846"/>
      <c r="D6" s="849" t="s">
        <v>16</v>
      </c>
      <c r="E6" s="850"/>
      <c r="F6" s="850"/>
      <c r="G6" s="850"/>
      <c r="H6" s="850"/>
      <c r="I6" s="850"/>
      <c r="J6" s="850"/>
      <c r="K6" s="850"/>
      <c r="L6" s="850"/>
      <c r="M6" s="850"/>
      <c r="N6" s="851"/>
      <c r="O6" s="849" t="s">
        <v>17</v>
      </c>
      <c r="P6" s="850"/>
      <c r="Q6" s="850"/>
      <c r="R6" s="850"/>
      <c r="S6" s="850"/>
      <c r="T6" s="361"/>
    </row>
    <row r="7" spans="1:28" ht="26.25" customHeight="1">
      <c r="A7" s="310" t="s">
        <v>19</v>
      </c>
      <c r="B7" s="310" t="s">
        <v>20</v>
      </c>
      <c r="C7" s="319" t="s">
        <v>21</v>
      </c>
      <c r="D7" s="320" t="s">
        <v>22</v>
      </c>
      <c r="E7" s="843" t="s">
        <v>23</v>
      </c>
      <c r="F7" s="843"/>
      <c r="G7" s="310" t="s">
        <v>24</v>
      </c>
      <c r="H7" s="310" t="s">
        <v>25</v>
      </c>
      <c r="I7" s="310" t="s">
        <v>26</v>
      </c>
      <c r="J7" s="310" t="s">
        <v>26</v>
      </c>
      <c r="K7" s="310" t="s">
        <v>27</v>
      </c>
      <c r="L7" s="310" t="s">
        <v>28</v>
      </c>
      <c r="M7" s="310" t="s">
        <v>29</v>
      </c>
      <c r="N7" s="319" t="s">
        <v>30</v>
      </c>
      <c r="O7" s="320" t="s">
        <v>31</v>
      </c>
      <c r="P7" s="310" t="s">
        <v>32</v>
      </c>
      <c r="Q7" s="310" t="s">
        <v>33</v>
      </c>
      <c r="R7" s="310" t="s">
        <v>34</v>
      </c>
      <c r="S7" s="310" t="s">
        <v>35</v>
      </c>
      <c r="T7" s="310" t="s">
        <v>36</v>
      </c>
      <c r="U7" s="5"/>
      <c r="X7" s="7"/>
      <c r="Y7" s="7"/>
      <c r="Z7" s="7"/>
      <c r="AA7" s="7"/>
      <c r="AB7" s="7"/>
    </row>
    <row r="8" spans="1:28" s="12" customFormat="1" ht="56.25" customHeight="1">
      <c r="A8" s="311" t="s">
        <v>63</v>
      </c>
      <c r="B8" s="312" t="str">
        <f>IF(B4=1,"Base IPLV","Existing kW/Ton")</f>
        <v>Existing kW/Ton</v>
      </c>
      <c r="C8" s="312" t="s">
        <v>37</v>
      </c>
      <c r="D8" s="313" t="s">
        <v>73</v>
      </c>
      <c r="E8" s="858" t="s">
        <v>248</v>
      </c>
      <c r="F8" s="859"/>
      <c r="G8" s="314" t="s">
        <v>38</v>
      </c>
      <c r="H8" s="315" t="s">
        <v>74</v>
      </c>
      <c r="I8" s="316" t="s">
        <v>583</v>
      </c>
      <c r="J8" s="315" t="s">
        <v>75</v>
      </c>
      <c r="K8" s="315" t="s">
        <v>76</v>
      </c>
      <c r="L8" s="316" t="s">
        <v>37</v>
      </c>
      <c r="M8" s="315" t="s">
        <v>77</v>
      </c>
      <c r="N8" s="321" t="s">
        <v>39</v>
      </c>
      <c r="O8" s="317" t="s">
        <v>78</v>
      </c>
      <c r="P8" s="315" t="s">
        <v>79</v>
      </c>
      <c r="Q8" s="315" t="s">
        <v>80</v>
      </c>
      <c r="R8" s="315" t="s">
        <v>554</v>
      </c>
      <c r="S8" s="315" t="s">
        <v>91</v>
      </c>
      <c r="T8" s="318" t="s">
        <v>81</v>
      </c>
      <c r="U8" s="6"/>
      <c r="X8" s="7"/>
      <c r="Y8" s="7"/>
      <c r="Z8" s="7"/>
      <c r="AA8" s="7"/>
      <c r="AB8" s="7"/>
    </row>
    <row r="9" spans="1:28" s="7" customFormat="1" ht="24.75" customHeight="1">
      <c r="A9" s="299">
        <v>55</v>
      </c>
      <c r="B9" s="359">
        <v>0.6500000000000001</v>
      </c>
      <c r="C9" s="300">
        <v>1</v>
      </c>
      <c r="D9" s="301" t="s">
        <v>66</v>
      </c>
      <c r="E9" s="847" t="s">
        <v>221</v>
      </c>
      <c r="F9" s="848"/>
      <c r="G9" s="299" t="s">
        <v>589</v>
      </c>
      <c r="H9" s="299">
        <v>55</v>
      </c>
      <c r="I9" s="299" t="str">
        <f>IF(ISERROR(VLOOKUP($D9,$A$24:$N$29,6,FALSE)),"",VLOOKUP($D9,$A$24:$N$29,6,FALSE))</f>
        <v>0.74  FLV,           0.63  IPLV</v>
      </c>
      <c r="J9" s="262">
        <f>IF(ISERROR(VLOOKUP($D9,$A$24:$N$29,11,FALSE)),"",VLOOKUP($D9,$A$24:$N$29,11,FALSE))</f>
        <v>0.63</v>
      </c>
      <c r="K9" s="299">
        <v>0.5</v>
      </c>
      <c r="L9" s="299">
        <v>1</v>
      </c>
      <c r="M9" s="299">
        <v>640</v>
      </c>
      <c r="N9" s="322">
        <v>2000</v>
      </c>
      <c r="O9" s="263">
        <f aca="true" t="shared" si="0" ref="O9:O18">IF(ISERROR(VLOOKUP($D9,$A$24:$K$29,8,FALSE)),"",VLOOKUP($D9,$A$24:$K$29,8,FALSE))</f>
        <v>15</v>
      </c>
      <c r="P9" s="264">
        <f aca="true" t="shared" si="1" ref="P9:P18">IF(ISERROR(H9*L9*O9),"",(H9*L9*O9))</f>
        <v>825</v>
      </c>
      <c r="Q9" s="265">
        <f aca="true" t="shared" si="2" ref="Q9:Q18">IF(D9="","",IF((J9&gt;=K9),J9-K9,0))</f>
        <v>0.13</v>
      </c>
      <c r="R9" s="264">
        <f aca="true" t="shared" si="3" ref="R9:R18">IF(ISERROR(VLOOKUP($D9,$A$24:$K$29,9,FALSE)),"",VLOOKUP($D9,$A$24:$K$29,9,FALSE))</f>
        <v>3.5</v>
      </c>
      <c r="S9" s="264">
        <f aca="true" t="shared" si="4" ref="S9:S18">IF(ISERROR(Q9*R9*H9*L9*100),"",(Q9*R9*H9*L9*100))</f>
        <v>2502.5</v>
      </c>
      <c r="T9" s="264">
        <f>IF(ISERROR(P9+S9),"",(P9+S9))</f>
        <v>3327.5</v>
      </c>
      <c r="U9" s="6"/>
      <c r="X9"/>
      <c r="Y9"/>
      <c r="Z9" s="283"/>
      <c r="AA9"/>
      <c r="AB9"/>
    </row>
    <row r="10" spans="1:28" s="7" customFormat="1" ht="24.75" customHeight="1">
      <c r="A10" s="299">
        <v>55</v>
      </c>
      <c r="B10" s="360">
        <v>0.6500000000000001</v>
      </c>
      <c r="C10" s="300">
        <v>1</v>
      </c>
      <c r="D10" s="301" t="s">
        <v>66</v>
      </c>
      <c r="E10" s="841" t="s">
        <v>206</v>
      </c>
      <c r="F10" s="842"/>
      <c r="G10" s="299" t="s">
        <v>592</v>
      </c>
      <c r="H10" s="299">
        <v>55</v>
      </c>
      <c r="I10" s="299" t="str">
        <f aca="true" t="shared" si="5" ref="I10:I18">IF(ISERROR(VLOOKUP($D10,$A$24:$N$29,6,FALSE)),"",VLOOKUP($D10,$A$24:$N$29,6,FALSE))</f>
        <v>0.74  FLV,           0.63  IPLV</v>
      </c>
      <c r="J10" s="262">
        <f aca="true" t="shared" si="6" ref="J10:J18">IF(ISERROR(VLOOKUP($D10,$A$24:$N$29,11,FALSE)),"",VLOOKUP($D10,$A$24:$N$29,11,FALSE))</f>
        <v>0.63</v>
      </c>
      <c r="K10" s="299">
        <v>0.6</v>
      </c>
      <c r="L10" s="299">
        <v>1</v>
      </c>
      <c r="M10" s="299">
        <v>640</v>
      </c>
      <c r="N10" s="322">
        <v>2000</v>
      </c>
      <c r="O10" s="263">
        <f t="shared" si="0"/>
        <v>15</v>
      </c>
      <c r="P10" s="264">
        <f t="shared" si="1"/>
        <v>825</v>
      </c>
      <c r="Q10" s="265">
        <f t="shared" si="2"/>
        <v>0.030000000000000027</v>
      </c>
      <c r="R10" s="264">
        <f t="shared" si="3"/>
        <v>3.5</v>
      </c>
      <c r="S10" s="264">
        <f t="shared" si="4"/>
        <v>577.5000000000005</v>
      </c>
      <c r="T10" s="264">
        <f aca="true" t="shared" si="7" ref="T10:T18">IF(ISERROR(P10+S10),"",(P10+S10))</f>
        <v>1402.5000000000005</v>
      </c>
      <c r="U10" s="6"/>
      <c r="X10"/>
      <c r="Y10"/>
      <c r="Z10"/>
      <c r="AA10"/>
      <c r="AB10"/>
    </row>
    <row r="11" spans="1:28" s="7" customFormat="1" ht="24.75" customHeight="1">
      <c r="A11" s="299"/>
      <c r="B11" s="360"/>
      <c r="C11" s="300"/>
      <c r="D11" s="301"/>
      <c r="E11" s="841"/>
      <c r="F11" s="842"/>
      <c r="G11" s="299"/>
      <c r="H11" s="299"/>
      <c r="I11" s="299">
        <f t="shared" si="5"/>
      </c>
      <c r="J11" s="262">
        <f t="shared" si="6"/>
      </c>
      <c r="K11" s="299"/>
      <c r="L11" s="299"/>
      <c r="M11" s="299"/>
      <c r="N11" s="322"/>
      <c r="O11" s="263">
        <f t="shared" si="0"/>
      </c>
      <c r="P11" s="264">
        <f t="shared" si="1"/>
      </c>
      <c r="Q11" s="265">
        <f t="shared" si="2"/>
      </c>
      <c r="R11" s="264">
        <f t="shared" si="3"/>
      </c>
      <c r="S11" s="264">
        <f t="shared" si="4"/>
      </c>
      <c r="T11" s="264">
        <f t="shared" si="7"/>
      </c>
      <c r="U11" s="6"/>
      <c r="X11"/>
      <c r="Y11"/>
      <c r="Z11"/>
      <c r="AA11"/>
      <c r="AB11"/>
    </row>
    <row r="12" spans="1:28" s="7" customFormat="1" ht="24.75" customHeight="1">
      <c r="A12" s="299"/>
      <c r="B12" s="360"/>
      <c r="C12" s="300"/>
      <c r="D12" s="301"/>
      <c r="E12" s="841"/>
      <c r="F12" s="842"/>
      <c r="G12" s="299"/>
      <c r="H12" s="299"/>
      <c r="I12" s="299">
        <f t="shared" si="5"/>
      </c>
      <c r="J12" s="262">
        <f t="shared" si="6"/>
      </c>
      <c r="K12" s="299"/>
      <c r="L12" s="299"/>
      <c r="M12" s="299"/>
      <c r="N12" s="322"/>
      <c r="O12" s="263">
        <f t="shared" si="0"/>
      </c>
      <c r="P12" s="264">
        <f t="shared" si="1"/>
      </c>
      <c r="Q12" s="265">
        <f t="shared" si="2"/>
      </c>
      <c r="R12" s="264">
        <f t="shared" si="3"/>
      </c>
      <c r="S12" s="264">
        <f t="shared" si="4"/>
      </c>
      <c r="T12" s="264">
        <f t="shared" si="7"/>
      </c>
      <c r="U12" s="6"/>
      <c r="X12"/>
      <c r="Y12"/>
      <c r="Z12"/>
      <c r="AA12"/>
      <c r="AB12"/>
    </row>
    <row r="13" spans="1:28" s="7" customFormat="1" ht="24.75" customHeight="1">
      <c r="A13" s="299"/>
      <c r="B13" s="360"/>
      <c r="C13" s="300"/>
      <c r="D13" s="301"/>
      <c r="E13" s="841"/>
      <c r="F13" s="842"/>
      <c r="G13" s="299"/>
      <c r="H13" s="299"/>
      <c r="I13" s="299">
        <f t="shared" si="5"/>
      </c>
      <c r="J13" s="262">
        <f t="shared" si="6"/>
      </c>
      <c r="K13" s="299"/>
      <c r="L13" s="299"/>
      <c r="M13" s="299"/>
      <c r="N13" s="322"/>
      <c r="O13" s="263">
        <f t="shared" si="0"/>
      </c>
      <c r="P13" s="264">
        <f t="shared" si="1"/>
      </c>
      <c r="Q13" s="265">
        <f t="shared" si="2"/>
      </c>
      <c r="R13" s="264">
        <f t="shared" si="3"/>
      </c>
      <c r="S13" s="264">
        <f t="shared" si="4"/>
      </c>
      <c r="T13" s="264">
        <f t="shared" si="7"/>
      </c>
      <c r="U13" s="6"/>
      <c r="X13"/>
      <c r="Y13"/>
      <c r="Z13"/>
      <c r="AA13"/>
      <c r="AB13"/>
    </row>
    <row r="14" spans="1:28" s="7" customFormat="1" ht="24.75" customHeight="1">
      <c r="A14" s="299"/>
      <c r="B14" s="360"/>
      <c r="C14" s="300"/>
      <c r="D14" s="301"/>
      <c r="E14" s="841"/>
      <c r="F14" s="842"/>
      <c r="G14" s="299"/>
      <c r="H14" s="299"/>
      <c r="I14" s="299">
        <f t="shared" si="5"/>
      </c>
      <c r="J14" s="262">
        <f t="shared" si="6"/>
      </c>
      <c r="K14" s="299"/>
      <c r="L14" s="299"/>
      <c r="M14" s="299"/>
      <c r="N14" s="322"/>
      <c r="O14" s="263">
        <f t="shared" si="0"/>
      </c>
      <c r="P14" s="264">
        <f t="shared" si="1"/>
      </c>
      <c r="Q14" s="265">
        <f t="shared" si="2"/>
      </c>
      <c r="R14" s="264">
        <f t="shared" si="3"/>
      </c>
      <c r="S14" s="264">
        <f t="shared" si="4"/>
      </c>
      <c r="T14" s="264">
        <f t="shared" si="7"/>
      </c>
      <c r="U14" s="6"/>
      <c r="X14"/>
      <c r="Y14"/>
      <c r="Z14"/>
      <c r="AA14"/>
      <c r="AB14"/>
    </row>
    <row r="15" spans="1:28" s="7" customFormat="1" ht="24.75" customHeight="1">
      <c r="A15" s="299"/>
      <c r="B15" s="360"/>
      <c r="C15" s="300"/>
      <c r="D15" s="301"/>
      <c r="E15" s="841"/>
      <c r="F15" s="842"/>
      <c r="G15" s="299"/>
      <c r="H15" s="299"/>
      <c r="I15" s="299">
        <f t="shared" si="5"/>
      </c>
      <c r="J15" s="262">
        <f t="shared" si="6"/>
      </c>
      <c r="K15" s="299"/>
      <c r="L15" s="299"/>
      <c r="M15" s="299"/>
      <c r="N15" s="322"/>
      <c r="O15" s="263">
        <f t="shared" si="0"/>
      </c>
      <c r="P15" s="264">
        <f t="shared" si="1"/>
      </c>
      <c r="Q15" s="265">
        <f t="shared" si="2"/>
      </c>
      <c r="R15" s="264">
        <f t="shared" si="3"/>
      </c>
      <c r="S15" s="264">
        <f t="shared" si="4"/>
      </c>
      <c r="T15" s="264">
        <f t="shared" si="7"/>
      </c>
      <c r="U15" s="6"/>
      <c r="X15"/>
      <c r="Y15"/>
      <c r="Z15"/>
      <c r="AA15"/>
      <c r="AB15"/>
    </row>
    <row r="16" spans="1:28" s="7" customFormat="1" ht="24.75" customHeight="1">
      <c r="A16" s="299"/>
      <c r="B16" s="360"/>
      <c r="C16" s="300"/>
      <c r="D16" s="301"/>
      <c r="E16" s="841"/>
      <c r="F16" s="842"/>
      <c r="G16" s="299"/>
      <c r="H16" s="299"/>
      <c r="I16" s="299">
        <f t="shared" si="5"/>
      </c>
      <c r="J16" s="262">
        <f t="shared" si="6"/>
      </c>
      <c r="K16" s="299"/>
      <c r="L16" s="299"/>
      <c r="M16" s="299"/>
      <c r="N16" s="322"/>
      <c r="O16" s="263">
        <f t="shared" si="0"/>
      </c>
      <c r="P16" s="264">
        <f t="shared" si="1"/>
      </c>
      <c r="Q16" s="265">
        <f t="shared" si="2"/>
      </c>
      <c r="R16" s="264">
        <f t="shared" si="3"/>
      </c>
      <c r="S16" s="264">
        <f t="shared" si="4"/>
      </c>
      <c r="T16" s="264">
        <f t="shared" si="7"/>
      </c>
      <c r="U16" s="6"/>
      <c r="X16"/>
      <c r="Y16"/>
      <c r="Z16"/>
      <c r="AA16"/>
      <c r="AB16"/>
    </row>
    <row r="17" spans="1:28" s="7" customFormat="1" ht="24.75" customHeight="1">
      <c r="A17" s="299"/>
      <c r="B17" s="360"/>
      <c r="C17" s="300"/>
      <c r="D17" s="301"/>
      <c r="E17" s="841"/>
      <c r="F17" s="842"/>
      <c r="G17" s="299"/>
      <c r="H17" s="299"/>
      <c r="I17" s="299">
        <f t="shared" si="5"/>
      </c>
      <c r="J17" s="262">
        <f t="shared" si="6"/>
      </c>
      <c r="K17" s="299"/>
      <c r="L17" s="299"/>
      <c r="M17" s="299"/>
      <c r="N17" s="322"/>
      <c r="O17" s="263">
        <f t="shared" si="0"/>
      </c>
      <c r="P17" s="264">
        <f t="shared" si="1"/>
      </c>
      <c r="Q17" s="265">
        <f t="shared" si="2"/>
      </c>
      <c r="R17" s="264">
        <f t="shared" si="3"/>
      </c>
      <c r="S17" s="264">
        <f t="shared" si="4"/>
      </c>
      <c r="T17" s="264">
        <f t="shared" si="7"/>
      </c>
      <c r="U17" s="6"/>
      <c r="X17"/>
      <c r="Y17"/>
      <c r="Z17"/>
      <c r="AA17"/>
      <c r="AB17"/>
    </row>
    <row r="18" spans="1:28" s="7" customFormat="1" ht="24.75" customHeight="1" thickBot="1">
      <c r="A18" s="299"/>
      <c r="B18" s="360"/>
      <c r="C18" s="300"/>
      <c r="D18" s="302"/>
      <c r="E18" s="841"/>
      <c r="F18" s="842"/>
      <c r="G18" s="299"/>
      <c r="H18" s="299"/>
      <c r="I18" s="299">
        <f t="shared" si="5"/>
      </c>
      <c r="J18" s="262">
        <f t="shared" si="6"/>
      </c>
      <c r="K18" s="299"/>
      <c r="L18" s="299"/>
      <c r="M18" s="299"/>
      <c r="N18" s="322"/>
      <c r="O18" s="263">
        <f t="shared" si="0"/>
      </c>
      <c r="P18" s="264">
        <f t="shared" si="1"/>
      </c>
      <c r="Q18" s="265">
        <f t="shared" si="2"/>
      </c>
      <c r="R18" s="264">
        <f t="shared" si="3"/>
      </c>
      <c r="S18" s="264">
        <f t="shared" si="4"/>
      </c>
      <c r="T18" s="264">
        <f t="shared" si="7"/>
      </c>
      <c r="U18"/>
      <c r="X18"/>
      <c r="Y18"/>
      <c r="Z18"/>
      <c r="AA18"/>
      <c r="AB18"/>
    </row>
    <row r="19" spans="1:20" ht="21.75" customHeight="1" thickBot="1">
      <c r="A19" s="20"/>
      <c r="B19" s="1"/>
      <c r="C19" s="1"/>
      <c r="D19" s="1"/>
      <c r="E19" s="1"/>
      <c r="F19" s="1"/>
      <c r="G19" s="1"/>
      <c r="H19" s="1"/>
      <c r="I19" s="8"/>
      <c r="J19" s="21"/>
      <c r="K19" s="1"/>
      <c r="L19" s="1"/>
      <c r="M19" s="1"/>
      <c r="N19" s="1"/>
      <c r="O19" s="7"/>
      <c r="P19" s="7"/>
      <c r="Q19" s="7"/>
      <c r="R19" s="7"/>
      <c r="S19" s="9" t="s">
        <v>48</v>
      </c>
      <c r="T19" s="266">
        <f>SUM(T9:T18)</f>
        <v>4730</v>
      </c>
    </row>
    <row r="20" spans="1:28" ht="27.75" customHeight="1" hidden="1">
      <c r="A20" s="1"/>
      <c r="B20" s="1"/>
      <c r="C20" s="1"/>
      <c r="D20" s="1"/>
      <c r="E20" s="1"/>
      <c r="F20" s="1"/>
      <c r="G20" s="1"/>
      <c r="H20" s="1"/>
      <c r="I20" s="1"/>
      <c r="J20" s="1"/>
      <c r="X20" s="3"/>
      <c r="Y20" s="3"/>
      <c r="Z20" s="3"/>
      <c r="AA20" s="3"/>
      <c r="AB20" s="3"/>
    </row>
    <row r="21" spans="1:28" ht="12.75" customHeight="1" thickBot="1">
      <c r="A21" s="1"/>
      <c r="B21" s="1"/>
      <c r="C21" s="1"/>
      <c r="D21" s="1"/>
      <c r="E21" s="1"/>
      <c r="F21" s="1"/>
      <c r="G21" s="1"/>
      <c r="H21" s="1"/>
      <c r="I21" s="1"/>
      <c r="J21" s="1"/>
      <c r="X21" s="3"/>
      <c r="Y21" s="3"/>
      <c r="Z21" s="3"/>
      <c r="AA21" s="3"/>
      <c r="AB21" s="3"/>
    </row>
    <row r="22" spans="1:27" ht="16.5" customHeight="1" thickBot="1">
      <c r="A22" s="22" t="s">
        <v>64</v>
      </c>
      <c r="B22" s="23"/>
      <c r="C22" s="23"/>
      <c r="D22" s="23"/>
      <c r="E22" s="23"/>
      <c r="F22" s="23"/>
      <c r="G22" s="23"/>
      <c r="H22" s="23"/>
      <c r="I22" s="23"/>
      <c r="J22" s="23"/>
      <c r="K22" s="856" t="s">
        <v>573</v>
      </c>
      <c r="L22" s="856"/>
      <c r="M22" s="856"/>
      <c r="N22" s="856"/>
      <c r="O22" s="269"/>
      <c r="P22" s="865" t="s">
        <v>584</v>
      </c>
      <c r="Q22" s="865"/>
      <c r="R22" s="865"/>
      <c r="S22" s="865"/>
      <c r="W22" s="3"/>
      <c r="X22" s="3"/>
      <c r="Y22" s="3"/>
      <c r="Z22" s="3"/>
      <c r="AA22" s="3"/>
    </row>
    <row r="23" spans="1:27" ht="51" customHeight="1" thickBot="1">
      <c r="A23" s="24" t="s">
        <v>51</v>
      </c>
      <c r="B23" s="862" t="s">
        <v>65</v>
      </c>
      <c r="C23" s="862"/>
      <c r="D23" s="862"/>
      <c r="E23" s="862"/>
      <c r="F23" s="860" t="s">
        <v>246</v>
      </c>
      <c r="G23" s="861"/>
      <c r="H23" s="24" t="s">
        <v>53</v>
      </c>
      <c r="I23" s="305" t="s">
        <v>553</v>
      </c>
      <c r="J23" s="306"/>
      <c r="K23" s="857" t="s">
        <v>438</v>
      </c>
      <c r="L23" s="857"/>
      <c r="M23" s="857" t="s">
        <v>439</v>
      </c>
      <c r="N23" s="857"/>
      <c r="O23" s="308"/>
      <c r="P23" s="868" t="s">
        <v>54</v>
      </c>
      <c r="Q23" s="869"/>
      <c r="R23" s="869"/>
      <c r="S23" s="325" t="s">
        <v>55</v>
      </c>
      <c r="W23" s="3"/>
      <c r="X23" s="3"/>
      <c r="Y23" s="3"/>
      <c r="Z23" s="3"/>
      <c r="AA23" s="3"/>
    </row>
    <row r="24" spans="1:27" ht="23.25" thickBot="1">
      <c r="A24" s="25" t="s">
        <v>66</v>
      </c>
      <c r="B24" s="853" t="s">
        <v>561</v>
      </c>
      <c r="C24" s="854"/>
      <c r="D24" s="854"/>
      <c r="E24" s="855"/>
      <c r="F24" s="272" t="s">
        <v>555</v>
      </c>
      <c r="G24" s="93" t="s">
        <v>249</v>
      </c>
      <c r="H24" s="10">
        <v>15</v>
      </c>
      <c r="I24" s="307">
        <v>3.5</v>
      </c>
      <c r="J24" s="274">
        <v>0</v>
      </c>
      <c r="K24" s="852">
        <v>0.63</v>
      </c>
      <c r="L24" s="852"/>
      <c r="M24" s="852">
        <v>0.534</v>
      </c>
      <c r="N24" s="852"/>
      <c r="O24" s="270"/>
      <c r="P24" s="866" t="s">
        <v>462</v>
      </c>
      <c r="Q24" s="867"/>
      <c r="R24" s="867"/>
      <c r="S24" s="323">
        <v>632</v>
      </c>
      <c r="W24" s="3"/>
      <c r="X24" s="3"/>
      <c r="Y24" s="3"/>
      <c r="Z24" s="3"/>
      <c r="AA24" s="3"/>
    </row>
    <row r="25" spans="1:19" ht="23.25" thickBot="1">
      <c r="A25" s="25" t="s">
        <v>67</v>
      </c>
      <c r="B25" s="853" t="s">
        <v>562</v>
      </c>
      <c r="C25" s="854"/>
      <c r="D25" s="854"/>
      <c r="E25" s="855"/>
      <c r="F25" s="272" t="s">
        <v>556</v>
      </c>
      <c r="G25" s="93" t="s">
        <v>249</v>
      </c>
      <c r="H25" s="10">
        <v>15</v>
      </c>
      <c r="I25" s="307">
        <v>3.5</v>
      </c>
      <c r="J25" s="274">
        <v>150</v>
      </c>
      <c r="K25" s="852">
        <v>0.58</v>
      </c>
      <c r="L25" s="852"/>
      <c r="M25" s="852">
        <v>0.534</v>
      </c>
      <c r="N25" s="852"/>
      <c r="O25" s="270"/>
      <c r="P25" s="863" t="s">
        <v>388</v>
      </c>
      <c r="Q25" s="864"/>
      <c r="R25" s="864"/>
      <c r="S25" s="324">
        <v>384</v>
      </c>
    </row>
    <row r="26" spans="1:19" ht="23.25" thickBot="1">
      <c r="A26" s="25" t="s">
        <v>68</v>
      </c>
      <c r="B26" s="853" t="s">
        <v>563</v>
      </c>
      <c r="C26" s="854"/>
      <c r="D26" s="854"/>
      <c r="E26" s="855"/>
      <c r="F26" s="272" t="s">
        <v>557</v>
      </c>
      <c r="G26" s="93" t="s">
        <v>249</v>
      </c>
      <c r="H26" s="10">
        <v>15</v>
      </c>
      <c r="I26" s="307">
        <v>3.5</v>
      </c>
      <c r="J26" s="274">
        <v>300</v>
      </c>
      <c r="K26" s="852">
        <v>0.52</v>
      </c>
      <c r="L26" s="852"/>
      <c r="M26" s="852">
        <v>0.524</v>
      </c>
      <c r="N26" s="852"/>
      <c r="O26" s="270"/>
      <c r="P26" s="863" t="s">
        <v>402</v>
      </c>
      <c r="Q26" s="864"/>
      <c r="R26" s="864"/>
      <c r="S26" s="324">
        <v>828</v>
      </c>
    </row>
    <row r="27" spans="1:19" ht="23.25" thickBot="1">
      <c r="A27" s="25" t="s">
        <v>69</v>
      </c>
      <c r="B27" s="853" t="s">
        <v>86</v>
      </c>
      <c r="C27" s="854"/>
      <c r="D27" s="854"/>
      <c r="E27" s="855"/>
      <c r="F27" s="272" t="s">
        <v>558</v>
      </c>
      <c r="G27" s="93" t="s">
        <v>249</v>
      </c>
      <c r="H27" s="10">
        <v>15</v>
      </c>
      <c r="I27" s="307">
        <v>3.5</v>
      </c>
      <c r="J27" s="274">
        <v>0</v>
      </c>
      <c r="K27" s="852">
        <v>0.65</v>
      </c>
      <c r="L27" s="852"/>
      <c r="M27" s="852">
        <v>0.534</v>
      </c>
      <c r="N27" s="852"/>
      <c r="O27" s="270"/>
      <c r="P27" s="863" t="s">
        <v>463</v>
      </c>
      <c r="Q27" s="864"/>
      <c r="R27" s="864"/>
      <c r="S27" s="324">
        <v>756</v>
      </c>
    </row>
    <row r="28" spans="1:19" ht="23.25" thickBot="1">
      <c r="A28" s="25" t="s">
        <v>70</v>
      </c>
      <c r="B28" s="853" t="s">
        <v>87</v>
      </c>
      <c r="C28" s="854"/>
      <c r="D28" s="854"/>
      <c r="E28" s="855"/>
      <c r="F28" s="272" t="s">
        <v>559</v>
      </c>
      <c r="G28" s="93" t="s">
        <v>249</v>
      </c>
      <c r="H28" s="10">
        <v>15</v>
      </c>
      <c r="I28" s="307">
        <v>3.5</v>
      </c>
      <c r="J28" s="274">
        <v>150</v>
      </c>
      <c r="K28" s="852">
        <v>0.58</v>
      </c>
      <c r="L28" s="852"/>
      <c r="M28" s="852">
        <v>0.534</v>
      </c>
      <c r="N28" s="852"/>
      <c r="O28" s="270"/>
      <c r="P28" s="863" t="s">
        <v>464</v>
      </c>
      <c r="Q28" s="864"/>
      <c r="R28" s="864"/>
      <c r="S28" s="324">
        <v>1408</v>
      </c>
    </row>
    <row r="29" spans="1:21" ht="23.25" thickBot="1">
      <c r="A29" s="25" t="s">
        <v>71</v>
      </c>
      <c r="B29" s="853" t="s">
        <v>88</v>
      </c>
      <c r="C29" s="854"/>
      <c r="D29" s="854"/>
      <c r="E29" s="855"/>
      <c r="F29" s="272" t="s">
        <v>560</v>
      </c>
      <c r="G29" s="93" t="s">
        <v>249</v>
      </c>
      <c r="H29" s="10">
        <v>15</v>
      </c>
      <c r="I29" s="307">
        <v>3.5</v>
      </c>
      <c r="J29" s="274">
        <v>300</v>
      </c>
      <c r="K29" s="852">
        <v>0.53</v>
      </c>
      <c r="L29" s="852"/>
      <c r="M29" s="852">
        <v>0.524</v>
      </c>
      <c r="N29" s="852"/>
      <c r="O29" s="271"/>
      <c r="P29" s="863" t="s">
        <v>465</v>
      </c>
      <c r="Q29" s="864"/>
      <c r="R29" s="864"/>
      <c r="S29" s="324">
        <v>1193</v>
      </c>
      <c r="U29" s="3"/>
    </row>
    <row r="30" spans="1:27" s="3" customFormat="1" ht="15" customHeight="1" thickBot="1">
      <c r="A30" s="278" t="s">
        <v>89</v>
      </c>
      <c r="B30" s="279" t="s">
        <v>569</v>
      </c>
      <c r="C30" s="280"/>
      <c r="D30" s="281"/>
      <c r="E30" s="282"/>
      <c r="F30" s="309" t="s">
        <v>570</v>
      </c>
      <c r="G30" s="280"/>
      <c r="H30" s="280"/>
      <c r="I30" s="280"/>
      <c r="J30" s="280"/>
      <c r="K30" s="280"/>
      <c r="L30" s="304"/>
      <c r="M30" s="304"/>
      <c r="N30" s="278"/>
      <c r="O30" s="268"/>
      <c r="P30" s="863" t="s">
        <v>395</v>
      </c>
      <c r="Q30" s="864"/>
      <c r="R30" s="864"/>
      <c r="S30" s="324">
        <v>902</v>
      </c>
      <c r="W30"/>
      <c r="X30"/>
      <c r="Y30"/>
      <c r="Z30"/>
      <c r="AA30"/>
    </row>
    <row r="31" spans="1:27" s="3" customFormat="1" ht="15" customHeight="1" thickBot="1">
      <c r="A31"/>
      <c r="B31"/>
      <c r="C31"/>
      <c r="D31"/>
      <c r="E31"/>
      <c r="F31"/>
      <c r="G31"/>
      <c r="H31"/>
      <c r="I31"/>
      <c r="J31"/>
      <c r="K31"/>
      <c r="N31" s="267"/>
      <c r="O31" s="268"/>
      <c r="P31" s="863" t="s">
        <v>396</v>
      </c>
      <c r="Q31" s="864"/>
      <c r="R31" s="864"/>
      <c r="S31" s="324">
        <v>867</v>
      </c>
      <c r="W31"/>
      <c r="X31"/>
      <c r="Y31"/>
      <c r="Z31"/>
      <c r="AA31"/>
    </row>
    <row r="32" spans="1:28" s="3" customFormat="1" ht="12.75">
      <c r="A32" s="3" t="s">
        <v>85</v>
      </c>
      <c r="N32" s="267"/>
      <c r="O32" s="268"/>
      <c r="P32" s="268"/>
      <c r="Q32" s="268"/>
      <c r="X32"/>
      <c r="Y32"/>
      <c r="Z32"/>
      <c r="AA32"/>
      <c r="AB32"/>
    </row>
    <row r="33" spans="14:28" s="3" customFormat="1" ht="15" customHeight="1">
      <c r="N33" s="267"/>
      <c r="O33" s="268"/>
      <c r="P33" s="268"/>
      <c r="Q33" s="268"/>
      <c r="X33"/>
      <c r="Y33"/>
      <c r="Z33"/>
      <c r="AA33"/>
      <c r="AB33"/>
    </row>
    <row r="34" spans="1:28" s="3" customFormat="1" ht="15" customHeight="1">
      <c r="A34" s="26" t="s">
        <v>72</v>
      </c>
      <c r="N34" s="85"/>
      <c r="O34" s="85"/>
      <c r="P34" s="85"/>
      <c r="Q34" s="85"/>
      <c r="U34"/>
      <c r="X34"/>
      <c r="Y34"/>
      <c r="Z34"/>
      <c r="AA34"/>
      <c r="AB34"/>
    </row>
    <row r="35" spans="1:11" ht="12.75">
      <c r="A35" s="3" t="s">
        <v>90</v>
      </c>
      <c r="B35" s="3"/>
      <c r="C35" s="3"/>
      <c r="D35" s="3"/>
      <c r="E35" s="3"/>
      <c r="F35" s="3"/>
      <c r="G35" s="3"/>
      <c r="H35" s="3"/>
      <c r="I35" s="3"/>
      <c r="J35" s="3"/>
      <c r="K35" s="3"/>
    </row>
  </sheetData>
  <sheetProtection selectLockedCells="1"/>
  <mergeCells count="51">
    <mergeCell ref="P31:R31"/>
    <mergeCell ref="M28:N28"/>
    <mergeCell ref="M27:N27"/>
    <mergeCell ref="M26:N26"/>
    <mergeCell ref="M25:N25"/>
    <mergeCell ref="P28:R28"/>
    <mergeCell ref="P26:R26"/>
    <mergeCell ref="P27:R27"/>
    <mergeCell ref="P30:R30"/>
    <mergeCell ref="O6:S6"/>
    <mergeCell ref="P29:R29"/>
    <mergeCell ref="P22:S22"/>
    <mergeCell ref="P24:R24"/>
    <mergeCell ref="K27:L27"/>
    <mergeCell ref="P23:R23"/>
    <mergeCell ref="M24:N24"/>
    <mergeCell ref="M29:N29"/>
    <mergeCell ref="P25:R25"/>
    <mergeCell ref="B26:E26"/>
    <mergeCell ref="B27:E27"/>
    <mergeCell ref="M23:N23"/>
    <mergeCell ref="F23:G23"/>
    <mergeCell ref="B23:E23"/>
    <mergeCell ref="K26:L26"/>
    <mergeCell ref="E8:F8"/>
    <mergeCell ref="B29:E29"/>
    <mergeCell ref="K29:L29"/>
    <mergeCell ref="K28:L28"/>
    <mergeCell ref="B28:E28"/>
    <mergeCell ref="K24:L24"/>
    <mergeCell ref="B25:E25"/>
    <mergeCell ref="E13:F13"/>
    <mergeCell ref="E11:F11"/>
    <mergeCell ref="E17:F17"/>
    <mergeCell ref="E16:F16"/>
    <mergeCell ref="K25:L25"/>
    <mergeCell ref="E12:F12"/>
    <mergeCell ref="B24:E24"/>
    <mergeCell ref="K22:N22"/>
    <mergeCell ref="K23:L23"/>
    <mergeCell ref="E18:F18"/>
    <mergeCell ref="A2:T2"/>
    <mergeCell ref="E15:F15"/>
    <mergeCell ref="E14:F14"/>
    <mergeCell ref="D3:F3"/>
    <mergeCell ref="D4:F4"/>
    <mergeCell ref="E10:F10"/>
    <mergeCell ref="E7:F7"/>
    <mergeCell ref="A6:C6"/>
    <mergeCell ref="E9:F9"/>
    <mergeCell ref="D6:N6"/>
  </mergeCells>
  <dataValidations count="8">
    <dataValidation type="decimal" operator="lessThanOrEqual" allowBlank="1" showInputMessage="1" showErrorMessage="1" errorTitle="Check Efficiency!" error="Please enter an efficiency that is equal to or better than the minimum efficiency from Table 3!" sqref="K9:K18">
      <formula1>J9</formula1>
    </dataValidation>
    <dataValidation type="list" allowBlank="1" showInputMessage="1" showErrorMessage="1" sqref="D9:D18">
      <formula1>Unit_Code_Chillers</formula1>
    </dataValidation>
    <dataValidation type="whole" operator="greaterThanOrEqual" allowBlank="1" showErrorMessage="1" errorTitle="Unit Quantity" error="Please enter a valid quantity!" sqref="L9:L18">
      <formula1>0</formula1>
    </dataValidation>
    <dataValidation type="list" allowBlank="1" showInputMessage="1" showErrorMessage="1" sqref="E9:E18 F10:F18">
      <formula1>Manufacturers</formula1>
    </dataValidation>
    <dataValidation type="list" allowBlank="1" showInputMessage="1" showErrorMessage="1" sqref="B10:B18">
      <formula1>kw_ton</formula1>
    </dataValidation>
    <dataValidation type="whole" operator="greaterThanOrEqual" allowBlank="1" showErrorMessage="1" errorTitle="Enter Quantity" error="Please enter the quantity of units - a value equal or greater than zero!" sqref="C9:C18">
      <formula1>0</formula1>
    </dataValidation>
    <dataValidation allowBlank="1" showInputMessage="1" showErrorMessage="1" promptTitle="Check Tons" prompt="Please be sure to select the correct UNIT CODE first!" errorTitle="Check Tons" error="Please make sure you have the correct UNIT CODE selected for this tonnage." sqref="A9"/>
    <dataValidation type="list" allowBlank="1" showInputMessage="1" showErrorMessage="1" prompt="Use Baseline efficiency located in the yellow box in table 3 for New Construction and unknown Retrofit efficiencies" sqref="B9">
      <formula1>kw_ton</formula1>
    </dataValidation>
  </dataValidations>
  <printOptions horizontalCentered="1"/>
  <pageMargins left="0.1" right="0.1" top="0.5" bottom="0.25" header="0.5" footer="0.5"/>
  <pageSetup fitToHeight="1" fitToWidth="1" horizontalDpi="600" verticalDpi="600" orientation="landscape" scale="57"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2:AD37"/>
  <sheetViews>
    <sheetView zoomScale="80" zoomScaleNormal="80" zoomScalePageLayoutView="0" workbookViewId="0" topLeftCell="A1">
      <selection activeCell="B9" sqref="B9"/>
    </sheetView>
  </sheetViews>
  <sheetFormatPr defaultColWidth="9.140625" defaultRowHeight="12.75"/>
  <cols>
    <col min="1" max="1" width="8.57421875" style="0" customWidth="1"/>
    <col min="2" max="2" width="6.7109375" style="0" customWidth="1"/>
    <col min="3" max="3" width="10.421875" style="0" customWidth="1"/>
    <col min="4" max="4" width="5.140625" style="0" customWidth="1"/>
    <col min="5" max="5" width="8.140625" style="0" customWidth="1"/>
    <col min="6" max="7" width="15.28125" style="0" customWidth="1"/>
    <col min="8" max="8" width="7.00390625" style="0" customWidth="1"/>
    <col min="9" max="9" width="8.140625" style="0" customWidth="1"/>
    <col min="10" max="10" width="6.57421875" style="0" customWidth="1"/>
    <col min="11" max="11" width="8.57421875" style="0" customWidth="1"/>
    <col min="12" max="12" width="6.57421875" style="0" customWidth="1"/>
    <col min="13" max="13" width="5.421875" style="0" customWidth="1"/>
    <col min="14" max="14" width="12.00390625" style="0" customWidth="1"/>
    <col min="15" max="16" width="10.7109375" style="0" customWidth="1"/>
    <col min="17" max="17" width="8.28125" style="0" customWidth="1"/>
    <col min="18" max="18" width="9.140625" style="0" customWidth="1"/>
    <col min="19" max="19" width="10.140625" style="0" customWidth="1"/>
    <col min="20" max="20" width="8.28125" style="0" customWidth="1"/>
    <col min="21" max="21" width="10.28125" style="0" customWidth="1"/>
    <col min="22" max="22" width="8.28125" style="0" customWidth="1"/>
    <col min="23" max="23" width="12.57421875" style="0" customWidth="1"/>
  </cols>
  <sheetData>
    <row r="1" ht="13.5" thickBot="1"/>
    <row r="2" spans="1:27" s="2" customFormat="1" ht="21" thickBot="1">
      <c r="A2" s="614" t="s">
        <v>635</v>
      </c>
      <c r="B2" s="615"/>
      <c r="C2" s="615"/>
      <c r="D2" s="615"/>
      <c r="E2" s="615"/>
      <c r="F2" s="615"/>
      <c r="G2" s="615"/>
      <c r="H2" s="615"/>
      <c r="I2" s="615"/>
      <c r="J2" s="615"/>
      <c r="K2" s="615"/>
      <c r="L2" s="615"/>
      <c r="M2" s="615"/>
      <c r="N2" s="615"/>
      <c r="O2" s="615"/>
      <c r="P2" s="615"/>
      <c r="Q2" s="615"/>
      <c r="R2" s="615"/>
      <c r="S2" s="615"/>
      <c r="T2" s="615"/>
      <c r="U2" s="615"/>
      <c r="V2" s="615"/>
      <c r="W2" s="615"/>
      <c r="X2" s="616"/>
      <c r="Y2" s="4"/>
      <c r="Z2" s="4"/>
      <c r="AA2" s="4"/>
    </row>
    <row r="3" spans="1:19" ht="17.25" customHeight="1">
      <c r="A3" s="297" t="s">
        <v>244</v>
      </c>
      <c r="B3" s="89"/>
      <c r="C3" s="89"/>
      <c r="D3" s="797" t="s">
        <v>97</v>
      </c>
      <c r="E3" s="797"/>
      <c r="F3" s="797"/>
      <c r="G3" s="76"/>
      <c r="H3" s="76"/>
      <c r="I3" s="76"/>
      <c r="J3" s="76"/>
      <c r="K3" s="76"/>
      <c r="L3" s="76"/>
      <c r="M3" s="76"/>
      <c r="N3" s="76"/>
      <c r="O3" s="76"/>
      <c r="P3" s="76"/>
      <c r="Q3" s="76"/>
      <c r="R3" s="76"/>
      <c r="S3" s="76"/>
    </row>
    <row r="4" spans="1:23" ht="12.75">
      <c r="A4" s="89"/>
      <c r="B4" s="92">
        <v>0</v>
      </c>
      <c r="C4" s="89"/>
      <c r="D4" s="798" t="s">
        <v>96</v>
      </c>
      <c r="E4" s="798"/>
      <c r="F4" s="798"/>
      <c r="G4" s="76"/>
      <c r="H4" s="76"/>
      <c r="I4" s="76"/>
      <c r="J4" s="76"/>
      <c r="K4" s="76"/>
      <c r="L4" s="76"/>
      <c r="M4" s="76"/>
      <c r="N4" s="76"/>
      <c r="O4" s="76"/>
      <c r="P4" s="76"/>
      <c r="Q4" s="76"/>
      <c r="R4" s="76"/>
      <c r="S4" s="76"/>
      <c r="W4" s="938">
        <f>'Rebate Information (Rooftops)'!S4</f>
        <v>42019</v>
      </c>
    </row>
    <row r="5" spans="1:19" ht="6.75" customHeight="1" thickBot="1">
      <c r="A5" s="89"/>
      <c r="B5" s="92"/>
      <c r="C5" s="89"/>
      <c r="D5" s="91"/>
      <c r="E5" s="375"/>
      <c r="F5" s="375"/>
      <c r="G5" s="76"/>
      <c r="H5" s="76"/>
      <c r="I5" s="76"/>
      <c r="J5" s="76"/>
      <c r="K5" s="76"/>
      <c r="L5" s="76"/>
      <c r="M5" s="76"/>
      <c r="N5" s="76"/>
      <c r="O5" s="76"/>
      <c r="P5" s="76"/>
      <c r="Q5" s="76"/>
      <c r="R5" s="76"/>
      <c r="S5" s="76"/>
    </row>
    <row r="6" spans="1:24" s="376" customFormat="1" ht="26.25" customHeight="1">
      <c r="A6" s="764" t="str">
        <f>IF(B4=1,"Base Efficiency","EXISTING SYSTEM                             (PLEASE ENTER)")</f>
        <v>EXISTING SYSTEM                             (PLEASE ENTER)</v>
      </c>
      <c r="B6" s="771"/>
      <c r="C6" s="771"/>
      <c r="D6" s="803"/>
      <c r="E6" s="809" t="s">
        <v>16</v>
      </c>
      <c r="F6" s="745"/>
      <c r="G6" s="745"/>
      <c r="H6" s="745"/>
      <c r="I6" s="745"/>
      <c r="J6" s="745"/>
      <c r="K6" s="745"/>
      <c r="L6" s="745"/>
      <c r="M6" s="745"/>
      <c r="N6" s="745"/>
      <c r="O6" s="745"/>
      <c r="P6" s="746"/>
      <c r="Q6" s="611" t="s">
        <v>17</v>
      </c>
      <c r="R6" s="612"/>
      <c r="S6" s="612"/>
      <c r="T6" s="612"/>
      <c r="U6" s="612"/>
      <c r="V6" s="612"/>
      <c r="W6" s="612"/>
      <c r="X6" s="613"/>
    </row>
    <row r="7" spans="1:30" ht="26.25" customHeight="1">
      <c r="A7" s="438" t="s">
        <v>18</v>
      </c>
      <c r="B7" s="439" t="s">
        <v>19</v>
      </c>
      <c r="C7" s="439" t="s">
        <v>20</v>
      </c>
      <c r="D7" s="440" t="s">
        <v>21</v>
      </c>
      <c r="E7" s="438" t="s">
        <v>22</v>
      </c>
      <c r="F7" s="439" t="s">
        <v>23</v>
      </c>
      <c r="G7" s="439" t="s">
        <v>24</v>
      </c>
      <c r="H7" s="439" t="s">
        <v>25</v>
      </c>
      <c r="I7" s="439" t="s">
        <v>26</v>
      </c>
      <c r="J7" s="439" t="s">
        <v>27</v>
      </c>
      <c r="K7" s="439" t="s">
        <v>28</v>
      </c>
      <c r="L7" s="439" t="s">
        <v>29</v>
      </c>
      <c r="M7" s="439" t="s">
        <v>30</v>
      </c>
      <c r="N7" s="439" t="s">
        <v>610</v>
      </c>
      <c r="O7" s="439" t="s">
        <v>31</v>
      </c>
      <c r="P7" s="441" t="s">
        <v>32</v>
      </c>
      <c r="Q7" s="438" t="s">
        <v>33</v>
      </c>
      <c r="R7" s="439" t="s">
        <v>34</v>
      </c>
      <c r="S7" s="439" t="s">
        <v>35</v>
      </c>
      <c r="T7" s="439" t="s">
        <v>36</v>
      </c>
      <c r="U7" s="439" t="s">
        <v>624</v>
      </c>
      <c r="V7" s="439" t="s">
        <v>625</v>
      </c>
      <c r="W7" s="439" t="s">
        <v>678</v>
      </c>
      <c r="X7" s="441" t="s">
        <v>687</v>
      </c>
      <c r="Z7" s="7"/>
      <c r="AA7" s="7"/>
      <c r="AB7" s="7"/>
      <c r="AC7" s="7"/>
      <c r="AD7" s="7"/>
    </row>
    <row r="8" spans="1:30" s="12" customFormat="1" ht="82.5" customHeight="1" thickBot="1">
      <c r="A8" s="562" t="s">
        <v>616</v>
      </c>
      <c r="B8" s="563" t="s">
        <v>593</v>
      </c>
      <c r="C8" s="563" t="str">
        <f>IF(B4=1,"Base FLV, Must use base from Table 3","Existing FL Eff.")</f>
        <v>Existing FL Eff.</v>
      </c>
      <c r="D8" s="564" t="s">
        <v>37</v>
      </c>
      <c r="E8" s="562" t="s">
        <v>616</v>
      </c>
      <c r="F8" s="563" t="s">
        <v>617</v>
      </c>
      <c r="G8" s="563" t="s">
        <v>596</v>
      </c>
      <c r="H8" s="563" t="s">
        <v>620</v>
      </c>
      <c r="I8" s="563" t="s">
        <v>655</v>
      </c>
      <c r="J8" s="563" t="s">
        <v>658</v>
      </c>
      <c r="K8" s="563" t="s">
        <v>657</v>
      </c>
      <c r="L8" s="563" t="s">
        <v>659</v>
      </c>
      <c r="M8" s="563" t="s">
        <v>37</v>
      </c>
      <c r="N8" s="563" t="s">
        <v>689</v>
      </c>
      <c r="O8" s="563" t="s">
        <v>618</v>
      </c>
      <c r="P8" s="565" t="s">
        <v>600</v>
      </c>
      <c r="Q8" s="562" t="s">
        <v>619</v>
      </c>
      <c r="R8" s="563" t="s">
        <v>628</v>
      </c>
      <c r="S8" s="563" t="s">
        <v>702</v>
      </c>
      <c r="T8" s="563" t="s">
        <v>703</v>
      </c>
      <c r="U8" s="563" t="s">
        <v>704</v>
      </c>
      <c r="V8" s="563" t="s">
        <v>705</v>
      </c>
      <c r="W8" s="563" t="s">
        <v>706</v>
      </c>
      <c r="X8" s="565" t="s">
        <v>688</v>
      </c>
      <c r="Z8" s="370"/>
      <c r="AA8" s="370"/>
      <c r="AB8" s="370"/>
      <c r="AC8" s="370"/>
      <c r="AD8" s="370"/>
    </row>
    <row r="9" spans="1:30" s="7" customFormat="1" ht="24.75" customHeight="1">
      <c r="A9" s="566">
        <f>E9</f>
        <v>0</v>
      </c>
      <c r="B9" s="567"/>
      <c r="C9" s="568"/>
      <c r="D9" s="569"/>
      <c r="E9" s="570"/>
      <c r="F9" s="571"/>
      <c r="G9" s="567"/>
      <c r="H9" s="567"/>
      <c r="I9" s="572">
        <f aca="true" t="shared" si="0" ref="I9:I18">IF(ISERROR(VLOOKUP($E9,$A$23:$M$23,7,FALSE)),"",VLOOKUP($E9,$A$23:$M$23,7,FALSE))</f>
      </c>
      <c r="J9" s="567"/>
      <c r="K9" s="573">
        <f aca="true" t="shared" si="1" ref="K9:K18">IF(ISERROR(VLOOKUP($E9,$A$23:$M$23,8,FALSE)),"",VLOOKUP($E9,$A$23:$M$23,8,FALSE))</f>
      </c>
      <c r="L9" s="567"/>
      <c r="M9" s="574"/>
      <c r="N9" s="575"/>
      <c r="O9" s="576"/>
      <c r="P9" s="630"/>
      <c r="Q9" s="577">
        <f aca="true" t="shared" si="2" ref="Q9:Q18">IF(ISERROR(VLOOKUP($E9,$A$23:$M$23,10,FALSE)),"",VLOOKUP($E9,$A$23:$M$23,10,FALSE))</f>
      </c>
      <c r="R9" s="578">
        <f aca="true" t="shared" si="3" ref="R9:R18">IF(ISERROR(H9*M9*Q9),"",(H9*M9*Q9))</f>
      </c>
      <c r="S9" s="579">
        <f>IF(E9="","",IF((J9&gt;=I9),J9-I9,0))</f>
      </c>
      <c r="T9" s="578">
        <f>IF(ISERROR(VLOOKUP($E9,$A$23:$N$23,12,FALSE)),"",VLOOKUP($E9,$A$23:$N$23,12,FALSE))</f>
      </c>
      <c r="U9" s="617">
        <f>IF(E9="","",IF((L9&gt;=K9),L9-K9,0))</f>
      </c>
      <c r="V9" s="578">
        <f>IF(ISERROR(VLOOKUP($E9,$A$23:$N$23,14,FALSE)),"",VLOOKUP($E9,$A$23:$N$23,14,FALSE))</f>
      </c>
      <c r="W9" s="578">
        <f>IF(ISERROR(((S9*T9)+(U9*V9))*(H9*M9)*10),"",(((S9*T9)+(U9*V9))*(H9*M9)*10))</f>
      </c>
      <c r="X9" s="580">
        <f aca="true" t="shared" si="4" ref="X9:X18">IF(ISERROR(R9+W9),"",(R9+W9))</f>
      </c>
      <c r="Z9"/>
      <c r="AA9"/>
      <c r="AB9" s="283"/>
      <c r="AC9"/>
      <c r="AD9"/>
    </row>
    <row r="10" spans="1:30" s="7" customFormat="1" ht="24.75" customHeight="1">
      <c r="A10" s="443">
        <f aca="true" t="shared" si="5" ref="A10:A18">E10</f>
        <v>0</v>
      </c>
      <c r="B10" s="395"/>
      <c r="C10" s="396"/>
      <c r="D10" s="397"/>
      <c r="E10" s="419"/>
      <c r="F10" s="401"/>
      <c r="G10" s="395"/>
      <c r="H10" s="395"/>
      <c r="I10" s="444">
        <f t="shared" si="0"/>
      </c>
      <c r="J10" s="395"/>
      <c r="K10" s="446">
        <f t="shared" si="1"/>
      </c>
      <c r="L10" s="395"/>
      <c r="M10" s="413"/>
      <c r="N10" s="414"/>
      <c r="O10" s="415"/>
      <c r="P10" s="598"/>
      <c r="Q10" s="448">
        <f t="shared" si="2"/>
      </c>
      <c r="R10" s="449">
        <f t="shared" si="3"/>
      </c>
      <c r="S10" s="450">
        <f aca="true" t="shared" si="6" ref="S10:S18">IF(E10="","",IF((J10&gt;=I10),J10-I10,0))</f>
      </c>
      <c r="T10" s="449">
        <f aca="true" t="shared" si="7" ref="T10:T18">IF(ISERROR(VLOOKUP($E10,$A$23:$N$23,12,FALSE)),"",VLOOKUP($E10,$A$23:$N$23,12,FALSE))</f>
      </c>
      <c r="U10" s="603">
        <f aca="true" t="shared" si="8" ref="U10:U18">IF(E10="","",IF((L10&gt;=K10),L10-K10,0))</f>
      </c>
      <c r="V10" s="449">
        <f aca="true" t="shared" si="9" ref="V10:V17">IF(ISERROR(VLOOKUP($E10,$A$23:$N$23,14,FALSE)),"",VLOOKUP($E10,$A$23:$N$23,14,FALSE))</f>
      </c>
      <c r="W10" s="449">
        <f aca="true" t="shared" si="10" ref="W10:W18">IF(ISERROR(((S10*T10)+(U10*V10))*(H10*M10)*10),"",(((S10*T10)+(U10*V10))*(H10*M10)*10))</f>
      </c>
      <c r="X10" s="451">
        <f t="shared" si="4"/>
      </c>
      <c r="Z10"/>
      <c r="AA10"/>
      <c r="AB10"/>
      <c r="AC10"/>
      <c r="AD10"/>
    </row>
    <row r="11" spans="1:30" s="7" customFormat="1" ht="24.75" customHeight="1">
      <c r="A11" s="443">
        <f t="shared" si="5"/>
        <v>0</v>
      </c>
      <c r="B11" s="395"/>
      <c r="C11" s="396"/>
      <c r="D11" s="397"/>
      <c r="E11" s="419"/>
      <c r="F11" s="401"/>
      <c r="G11" s="395"/>
      <c r="H11" s="395"/>
      <c r="I11" s="444">
        <f t="shared" si="0"/>
      </c>
      <c r="J11" s="395"/>
      <c r="K11" s="446">
        <f t="shared" si="1"/>
      </c>
      <c r="L11" s="395"/>
      <c r="M11" s="413"/>
      <c r="N11" s="414"/>
      <c r="O11" s="415"/>
      <c r="P11" s="598"/>
      <c r="Q11" s="448">
        <f t="shared" si="2"/>
      </c>
      <c r="R11" s="449">
        <f t="shared" si="3"/>
      </c>
      <c r="S11" s="450">
        <f t="shared" si="6"/>
      </c>
      <c r="T11" s="449">
        <f t="shared" si="7"/>
      </c>
      <c r="U11" s="603">
        <f t="shared" si="8"/>
      </c>
      <c r="V11" s="449">
        <f t="shared" si="9"/>
      </c>
      <c r="W11" s="449">
        <f t="shared" si="10"/>
      </c>
      <c r="X11" s="451">
        <f t="shared" si="4"/>
      </c>
      <c r="Z11"/>
      <c r="AA11"/>
      <c r="AB11"/>
      <c r="AC11"/>
      <c r="AD11"/>
    </row>
    <row r="12" spans="1:30" s="7" customFormat="1" ht="24.75" customHeight="1">
      <c r="A12" s="443">
        <f t="shared" si="5"/>
        <v>0</v>
      </c>
      <c r="B12" s="395"/>
      <c r="C12" s="396"/>
      <c r="D12" s="397"/>
      <c r="E12" s="419"/>
      <c r="F12" s="401"/>
      <c r="G12" s="395"/>
      <c r="H12" s="395"/>
      <c r="I12" s="444">
        <f t="shared" si="0"/>
      </c>
      <c r="J12" s="395"/>
      <c r="K12" s="446">
        <f t="shared" si="1"/>
      </c>
      <c r="L12" s="395"/>
      <c r="M12" s="413"/>
      <c r="N12" s="414"/>
      <c r="O12" s="415"/>
      <c r="P12" s="598"/>
      <c r="Q12" s="448">
        <f t="shared" si="2"/>
      </c>
      <c r="R12" s="449">
        <f t="shared" si="3"/>
      </c>
      <c r="S12" s="450">
        <f t="shared" si="6"/>
      </c>
      <c r="T12" s="449">
        <f t="shared" si="7"/>
      </c>
      <c r="U12" s="603">
        <f t="shared" si="8"/>
      </c>
      <c r="V12" s="449">
        <f t="shared" si="9"/>
      </c>
      <c r="W12" s="449">
        <f t="shared" si="10"/>
      </c>
      <c r="X12" s="451">
        <f t="shared" si="4"/>
      </c>
      <c r="Z12"/>
      <c r="AA12"/>
      <c r="AB12"/>
      <c r="AC12"/>
      <c r="AD12"/>
    </row>
    <row r="13" spans="1:30" s="7" customFormat="1" ht="24.75" customHeight="1">
      <c r="A13" s="443">
        <f t="shared" si="5"/>
        <v>0</v>
      </c>
      <c r="B13" s="395"/>
      <c r="C13" s="396"/>
      <c r="D13" s="397"/>
      <c r="E13" s="419"/>
      <c r="F13" s="401"/>
      <c r="G13" s="395"/>
      <c r="H13" s="395"/>
      <c r="I13" s="444">
        <f t="shared" si="0"/>
      </c>
      <c r="J13" s="395"/>
      <c r="K13" s="446">
        <f t="shared" si="1"/>
      </c>
      <c r="L13" s="395"/>
      <c r="M13" s="413"/>
      <c r="N13" s="414"/>
      <c r="O13" s="415"/>
      <c r="P13" s="598"/>
      <c r="Q13" s="448">
        <f t="shared" si="2"/>
      </c>
      <c r="R13" s="449">
        <f t="shared" si="3"/>
      </c>
      <c r="S13" s="450">
        <f t="shared" si="6"/>
      </c>
      <c r="T13" s="449">
        <f t="shared" si="7"/>
      </c>
      <c r="U13" s="603">
        <f t="shared" si="8"/>
      </c>
      <c r="V13" s="449">
        <f t="shared" si="9"/>
      </c>
      <c r="W13" s="449">
        <f t="shared" si="10"/>
      </c>
      <c r="X13" s="451">
        <f t="shared" si="4"/>
      </c>
      <c r="Z13"/>
      <c r="AA13"/>
      <c r="AB13"/>
      <c r="AC13"/>
      <c r="AD13"/>
    </row>
    <row r="14" spans="1:30" s="7" customFormat="1" ht="24.75" customHeight="1">
      <c r="A14" s="443">
        <f t="shared" si="5"/>
        <v>0</v>
      </c>
      <c r="B14" s="395"/>
      <c r="C14" s="396"/>
      <c r="D14" s="397"/>
      <c r="E14" s="419"/>
      <c r="F14" s="401"/>
      <c r="G14" s="395"/>
      <c r="H14" s="395"/>
      <c r="I14" s="444">
        <f t="shared" si="0"/>
      </c>
      <c r="J14" s="395"/>
      <c r="K14" s="446">
        <f t="shared" si="1"/>
      </c>
      <c r="L14" s="395"/>
      <c r="M14" s="413"/>
      <c r="N14" s="414"/>
      <c r="O14" s="415"/>
      <c r="P14" s="598"/>
      <c r="Q14" s="448">
        <f t="shared" si="2"/>
      </c>
      <c r="R14" s="449">
        <f t="shared" si="3"/>
      </c>
      <c r="S14" s="450">
        <f t="shared" si="6"/>
      </c>
      <c r="T14" s="449">
        <f t="shared" si="7"/>
      </c>
      <c r="U14" s="603">
        <f t="shared" si="8"/>
      </c>
      <c r="V14" s="449">
        <f t="shared" si="9"/>
      </c>
      <c r="W14" s="449">
        <f t="shared" si="10"/>
      </c>
      <c r="X14" s="451">
        <f t="shared" si="4"/>
      </c>
      <c r="Z14"/>
      <c r="AA14"/>
      <c r="AB14"/>
      <c r="AC14"/>
      <c r="AD14"/>
    </row>
    <row r="15" spans="1:30" s="7" customFormat="1" ht="24.75" customHeight="1">
      <c r="A15" s="443">
        <f t="shared" si="5"/>
        <v>0</v>
      </c>
      <c r="B15" s="395"/>
      <c r="C15" s="396"/>
      <c r="D15" s="397"/>
      <c r="E15" s="419"/>
      <c r="F15" s="401"/>
      <c r="G15" s="395"/>
      <c r="H15" s="395"/>
      <c r="I15" s="444">
        <f t="shared" si="0"/>
      </c>
      <c r="J15" s="395"/>
      <c r="K15" s="446">
        <f t="shared" si="1"/>
      </c>
      <c r="L15" s="395"/>
      <c r="M15" s="413"/>
      <c r="N15" s="414"/>
      <c r="O15" s="415"/>
      <c r="P15" s="598"/>
      <c r="Q15" s="448">
        <f t="shared" si="2"/>
      </c>
      <c r="R15" s="449">
        <f t="shared" si="3"/>
      </c>
      <c r="S15" s="450">
        <f t="shared" si="6"/>
      </c>
      <c r="T15" s="449">
        <f t="shared" si="7"/>
      </c>
      <c r="U15" s="603">
        <f t="shared" si="8"/>
      </c>
      <c r="V15" s="449">
        <f t="shared" si="9"/>
      </c>
      <c r="W15" s="449">
        <f t="shared" si="10"/>
      </c>
      <c r="X15" s="451">
        <f t="shared" si="4"/>
      </c>
      <c r="Z15"/>
      <c r="AA15"/>
      <c r="AB15"/>
      <c r="AC15"/>
      <c r="AD15"/>
    </row>
    <row r="16" spans="1:30" s="7" customFormat="1" ht="24.75" customHeight="1">
      <c r="A16" s="443">
        <f t="shared" si="5"/>
        <v>0</v>
      </c>
      <c r="B16" s="395"/>
      <c r="C16" s="396"/>
      <c r="D16" s="397"/>
      <c r="E16" s="419"/>
      <c r="F16" s="401"/>
      <c r="G16" s="395"/>
      <c r="H16" s="395"/>
      <c r="I16" s="444">
        <f t="shared" si="0"/>
      </c>
      <c r="J16" s="395"/>
      <c r="K16" s="446">
        <f t="shared" si="1"/>
      </c>
      <c r="L16" s="395"/>
      <c r="M16" s="413"/>
      <c r="N16" s="414"/>
      <c r="O16" s="415"/>
      <c r="P16" s="598"/>
      <c r="Q16" s="448">
        <f t="shared" si="2"/>
      </c>
      <c r="R16" s="449">
        <f t="shared" si="3"/>
      </c>
      <c r="S16" s="450">
        <f t="shared" si="6"/>
      </c>
      <c r="T16" s="449">
        <f t="shared" si="7"/>
      </c>
      <c r="U16" s="603">
        <f t="shared" si="8"/>
      </c>
      <c r="V16" s="449">
        <f t="shared" si="9"/>
      </c>
      <c r="W16" s="449">
        <f t="shared" si="10"/>
      </c>
      <c r="X16" s="451">
        <f t="shared" si="4"/>
      </c>
      <c r="Z16"/>
      <c r="AA16"/>
      <c r="AB16"/>
      <c r="AC16"/>
      <c r="AD16"/>
    </row>
    <row r="17" spans="1:30" s="7" customFormat="1" ht="24.75" customHeight="1">
      <c r="A17" s="443">
        <f t="shared" si="5"/>
        <v>0</v>
      </c>
      <c r="B17" s="395"/>
      <c r="C17" s="396"/>
      <c r="D17" s="397"/>
      <c r="E17" s="419"/>
      <c r="F17" s="401"/>
      <c r="G17" s="395"/>
      <c r="H17" s="395"/>
      <c r="I17" s="444">
        <f t="shared" si="0"/>
      </c>
      <c r="J17" s="395"/>
      <c r="K17" s="446">
        <f t="shared" si="1"/>
      </c>
      <c r="L17" s="395"/>
      <c r="M17" s="413"/>
      <c r="N17" s="414"/>
      <c r="O17" s="415"/>
      <c r="P17" s="598"/>
      <c r="Q17" s="448">
        <f t="shared" si="2"/>
      </c>
      <c r="R17" s="449">
        <f t="shared" si="3"/>
      </c>
      <c r="S17" s="450">
        <f t="shared" si="6"/>
      </c>
      <c r="T17" s="449">
        <f t="shared" si="7"/>
      </c>
      <c r="U17" s="603">
        <f t="shared" si="8"/>
      </c>
      <c r="V17" s="449">
        <f t="shared" si="9"/>
      </c>
      <c r="W17" s="449">
        <f t="shared" si="10"/>
      </c>
      <c r="X17" s="451">
        <f t="shared" si="4"/>
      </c>
      <c r="Z17"/>
      <c r="AA17"/>
      <c r="AB17"/>
      <c r="AC17"/>
      <c r="AD17"/>
    </row>
    <row r="18" spans="1:30" s="7" customFormat="1" ht="24.75" customHeight="1" thickBot="1">
      <c r="A18" s="456">
        <f t="shared" si="5"/>
        <v>0</v>
      </c>
      <c r="B18" s="398"/>
      <c r="C18" s="399"/>
      <c r="D18" s="400"/>
      <c r="E18" s="420"/>
      <c r="F18" s="421"/>
      <c r="G18" s="398"/>
      <c r="H18" s="398"/>
      <c r="I18" s="445">
        <f t="shared" si="0"/>
      </c>
      <c r="J18" s="398"/>
      <c r="K18" s="447">
        <f t="shared" si="1"/>
      </c>
      <c r="L18" s="398"/>
      <c r="M18" s="416"/>
      <c r="N18" s="417"/>
      <c r="O18" s="418"/>
      <c r="P18" s="599"/>
      <c r="Q18" s="452">
        <f t="shared" si="2"/>
      </c>
      <c r="R18" s="453">
        <f t="shared" si="3"/>
      </c>
      <c r="S18" s="454">
        <f t="shared" si="6"/>
      </c>
      <c r="T18" s="453">
        <f t="shared" si="7"/>
      </c>
      <c r="U18" s="618">
        <f t="shared" si="8"/>
      </c>
      <c r="V18" s="453">
        <f>IF(ISERROR(VLOOKUP($E18,$A$23:$N$23,14,FALSE)),"",VLOOKUP($E18,$A$23:$N$23,14,FALSE))</f>
      </c>
      <c r="W18" s="453">
        <f t="shared" si="10"/>
      </c>
      <c r="X18" s="455">
        <f t="shared" si="4"/>
      </c>
      <c r="Z18"/>
      <c r="AA18"/>
      <c r="AB18"/>
      <c r="AC18"/>
      <c r="AD18"/>
    </row>
    <row r="19" spans="1:24" ht="16.5" thickBot="1">
      <c r="A19" s="20"/>
      <c r="B19" s="1"/>
      <c r="C19" s="1"/>
      <c r="D19" s="1"/>
      <c r="E19" s="1"/>
      <c r="F19" s="1"/>
      <c r="G19" s="1"/>
      <c r="H19" s="1"/>
      <c r="I19" s="8"/>
      <c r="J19" s="21"/>
      <c r="K19" s="1"/>
      <c r="L19" s="1"/>
      <c r="M19" s="1"/>
      <c r="P19" s="1"/>
      <c r="Q19" s="7"/>
      <c r="R19" s="7"/>
      <c r="V19" s="9" t="s">
        <v>48</v>
      </c>
      <c r="W19" s="870">
        <f>SUM(X9:X18)</f>
        <v>0</v>
      </c>
      <c r="X19" s="871"/>
    </row>
    <row r="20" spans="1:27" ht="13.5" thickBot="1">
      <c r="A20" s="371"/>
      <c r="B20" s="371"/>
      <c r="C20" s="371"/>
      <c r="D20" s="371"/>
      <c r="E20" s="371"/>
      <c r="F20" s="371"/>
      <c r="G20" s="371"/>
      <c r="H20" s="371"/>
      <c r="I20" s="371"/>
      <c r="J20" s="371"/>
      <c r="K20" s="369"/>
      <c r="L20" s="369"/>
      <c r="M20" s="369"/>
      <c r="N20" s="369"/>
      <c r="O20" s="369"/>
      <c r="P20" s="369"/>
      <c r="Q20" s="369"/>
      <c r="R20" s="369"/>
      <c r="W20" s="3"/>
      <c r="X20" s="3"/>
      <c r="Y20" s="3"/>
      <c r="Z20" s="3"/>
      <c r="AA20" s="3"/>
    </row>
    <row r="21" spans="1:21" s="356" customFormat="1" ht="19.5" customHeight="1" thickBot="1">
      <c r="A21" s="872" t="s">
        <v>64</v>
      </c>
      <c r="B21" s="873"/>
      <c r="C21" s="873"/>
      <c r="D21" s="873"/>
      <c r="E21" s="873"/>
      <c r="F21" s="873"/>
      <c r="G21" s="873"/>
      <c r="H21" s="873"/>
      <c r="I21" s="873"/>
      <c r="J21" s="873"/>
      <c r="K21" s="873"/>
      <c r="L21" s="873"/>
      <c r="M21" s="873"/>
      <c r="N21" s="874"/>
      <c r="P21" s="879" t="s">
        <v>584</v>
      </c>
      <c r="Q21" s="880"/>
      <c r="R21" s="880"/>
      <c r="S21" s="880"/>
      <c r="T21" s="880"/>
      <c r="U21" s="881"/>
    </row>
    <row r="22" spans="1:26" ht="53.25" customHeight="1" thickBot="1">
      <c r="A22" s="606" t="s">
        <v>51</v>
      </c>
      <c r="B22" s="882" t="s">
        <v>621</v>
      </c>
      <c r="C22" s="883"/>
      <c r="D22" s="883"/>
      <c r="E22" s="883"/>
      <c r="F22" s="884"/>
      <c r="G22" s="556" t="s">
        <v>656</v>
      </c>
      <c r="H22" s="885" t="s">
        <v>651</v>
      </c>
      <c r="I22" s="886"/>
      <c r="J22" s="885" t="s">
        <v>613</v>
      </c>
      <c r="K22" s="886"/>
      <c r="L22" s="887" t="s">
        <v>691</v>
      </c>
      <c r="M22" s="886"/>
      <c r="N22" s="609" t="s">
        <v>629</v>
      </c>
      <c r="P22" s="888" t="s">
        <v>627</v>
      </c>
      <c r="Q22" s="787"/>
      <c r="R22" s="787"/>
      <c r="S22" s="787"/>
      <c r="T22" s="889" t="s">
        <v>55</v>
      </c>
      <c r="U22" s="890"/>
      <c r="X22" s="3"/>
      <c r="Y22" s="3"/>
      <c r="Z22" s="3"/>
    </row>
    <row r="23" spans="1:26" ht="13.5" thickBot="1">
      <c r="A23" s="607" t="s">
        <v>690</v>
      </c>
      <c r="B23" s="891" t="s">
        <v>631</v>
      </c>
      <c r="C23" s="891"/>
      <c r="D23" s="891"/>
      <c r="E23" s="891"/>
      <c r="F23" s="891"/>
      <c r="G23" s="608">
        <v>9.7</v>
      </c>
      <c r="H23" s="892">
        <v>12</v>
      </c>
      <c r="I23" s="892"/>
      <c r="J23" s="893">
        <v>8</v>
      </c>
      <c r="K23" s="893"/>
      <c r="L23" s="894">
        <v>1.5</v>
      </c>
      <c r="M23" s="895"/>
      <c r="N23" s="610">
        <v>1.5</v>
      </c>
      <c r="P23" s="758" t="s">
        <v>661</v>
      </c>
      <c r="Q23" s="759"/>
      <c r="R23" s="759"/>
      <c r="S23" s="792"/>
      <c r="T23" s="795">
        <v>986</v>
      </c>
      <c r="U23" s="877"/>
      <c r="X23" s="3"/>
      <c r="Y23" s="3"/>
      <c r="Z23" s="3"/>
    </row>
    <row r="24" spans="1:21" ht="12.75" customHeight="1">
      <c r="A24" s="369"/>
      <c r="B24" s="369"/>
      <c r="C24" s="369"/>
      <c r="D24" s="369"/>
      <c r="E24" s="369"/>
      <c r="F24" s="369"/>
      <c r="G24" s="369"/>
      <c r="H24" s="369"/>
      <c r="I24" s="369"/>
      <c r="J24" s="369"/>
      <c r="K24" s="369"/>
      <c r="L24" s="369"/>
      <c r="M24" s="369"/>
      <c r="N24" s="369"/>
      <c r="O24" s="369"/>
      <c r="P24" s="758" t="s">
        <v>462</v>
      </c>
      <c r="Q24" s="759" t="s">
        <v>388</v>
      </c>
      <c r="R24" s="759"/>
      <c r="S24" s="792"/>
      <c r="T24" s="795">
        <v>785</v>
      </c>
      <c r="U24" s="877"/>
    </row>
    <row r="25" spans="1:21" ht="12.75" customHeight="1">
      <c r="A25" s="369" t="s">
        <v>660</v>
      </c>
      <c r="B25" s="3"/>
      <c r="C25" s="3"/>
      <c r="D25" s="3"/>
      <c r="E25" s="3"/>
      <c r="F25" s="3"/>
      <c r="G25" s="3"/>
      <c r="H25" s="3"/>
      <c r="I25" s="3"/>
      <c r="J25" s="3"/>
      <c r="L25" s="369"/>
      <c r="M25" s="369"/>
      <c r="N25" s="369"/>
      <c r="O25" s="369"/>
      <c r="P25" s="758" t="s">
        <v>662</v>
      </c>
      <c r="Q25" s="759" t="s">
        <v>402</v>
      </c>
      <c r="R25" s="759"/>
      <c r="S25" s="792"/>
      <c r="T25" s="795">
        <v>408</v>
      </c>
      <c r="U25" s="877"/>
    </row>
    <row r="26" spans="1:21" ht="12.75" customHeight="1">
      <c r="A26" s="385" t="s">
        <v>643</v>
      </c>
      <c r="B26" s="3"/>
      <c r="C26" s="3"/>
      <c r="D26" s="3"/>
      <c r="E26" s="3"/>
      <c r="F26" s="3"/>
      <c r="G26" s="3"/>
      <c r="H26" s="3"/>
      <c r="I26" s="3"/>
      <c r="J26" s="3"/>
      <c r="O26" s="369"/>
      <c r="P26" s="758" t="s">
        <v>663</v>
      </c>
      <c r="Q26" s="759" t="s">
        <v>463</v>
      </c>
      <c r="R26" s="759"/>
      <c r="S26" s="792"/>
      <c r="T26" s="795">
        <v>563</v>
      </c>
      <c r="U26" s="877"/>
    </row>
    <row r="27" spans="1:21" ht="12.75" customHeight="1">
      <c r="A27" s="385" t="s">
        <v>644</v>
      </c>
      <c r="B27" s="91"/>
      <c r="C27" s="3"/>
      <c r="D27" s="3"/>
      <c r="E27" s="3"/>
      <c r="F27" s="3"/>
      <c r="G27" s="3"/>
      <c r="H27" s="3"/>
      <c r="I27" s="3"/>
      <c r="J27" s="3"/>
      <c r="O27" s="369"/>
      <c r="P27" s="758" t="s">
        <v>463</v>
      </c>
      <c r="Q27" s="759" t="s">
        <v>464</v>
      </c>
      <c r="R27" s="759"/>
      <c r="S27" s="792"/>
      <c r="T27" s="795">
        <v>865</v>
      </c>
      <c r="U27" s="877"/>
    </row>
    <row r="28" spans="12:21" ht="12.75" customHeight="1">
      <c r="L28" s="3"/>
      <c r="M28" s="3"/>
      <c r="N28" s="3"/>
      <c r="O28" s="369"/>
      <c r="P28" s="758" t="s">
        <v>464</v>
      </c>
      <c r="Q28" s="759"/>
      <c r="R28" s="759"/>
      <c r="S28" s="792"/>
      <c r="T28" s="795">
        <v>1298</v>
      </c>
      <c r="U28" s="877"/>
    </row>
    <row r="29" spans="1:27" s="3" customFormat="1" ht="12.75" customHeight="1">
      <c r="A29" s="369" t="s">
        <v>636</v>
      </c>
      <c r="B29" s="369" t="s">
        <v>637</v>
      </c>
      <c r="K29"/>
      <c r="L29"/>
      <c r="M29"/>
      <c r="N29"/>
      <c r="O29" s="372"/>
      <c r="P29" s="758" t="s">
        <v>664</v>
      </c>
      <c r="Q29" s="759"/>
      <c r="R29" s="759"/>
      <c r="S29" s="792"/>
      <c r="T29" s="795">
        <v>754</v>
      </c>
      <c r="U29" s="877"/>
      <c r="X29"/>
      <c r="Y29"/>
      <c r="Z29"/>
      <c r="AA29"/>
    </row>
    <row r="30" spans="1:27" s="3" customFormat="1" ht="12.75">
      <c r="A30"/>
      <c r="B30" s="369" t="s">
        <v>638</v>
      </c>
      <c r="C30"/>
      <c r="D30"/>
      <c r="E30"/>
      <c r="F30"/>
      <c r="G30"/>
      <c r="H30"/>
      <c r="I30"/>
      <c r="J30"/>
      <c r="K30"/>
      <c r="O30"/>
      <c r="P30" s="758" t="s">
        <v>665</v>
      </c>
      <c r="Q30" s="759"/>
      <c r="R30" s="759"/>
      <c r="S30" s="792"/>
      <c r="T30" s="795">
        <v>589</v>
      </c>
      <c r="U30" s="877"/>
      <c r="X30"/>
      <c r="Y30"/>
      <c r="Z30"/>
      <c r="AA30"/>
    </row>
    <row r="31" spans="1:28" s="3" customFormat="1" ht="12.75">
      <c r="A31"/>
      <c r="B31" s="369" t="s">
        <v>639</v>
      </c>
      <c r="D31"/>
      <c r="E31"/>
      <c r="F31"/>
      <c r="G31"/>
      <c r="H31"/>
      <c r="I31"/>
      <c r="J31"/>
      <c r="K31"/>
      <c r="P31" s="758" t="s">
        <v>666</v>
      </c>
      <c r="Q31" s="759"/>
      <c r="R31" s="759"/>
      <c r="S31" s="792"/>
      <c r="T31" s="795">
        <v>446</v>
      </c>
      <c r="U31" s="877"/>
      <c r="X31"/>
      <c r="Y31"/>
      <c r="Z31"/>
      <c r="AA31"/>
      <c r="AB31"/>
    </row>
    <row r="32" spans="1:28" s="3" customFormat="1" ht="15" customHeight="1">
      <c r="A32"/>
      <c r="B32" s="369" t="s">
        <v>640</v>
      </c>
      <c r="D32"/>
      <c r="E32"/>
      <c r="F32"/>
      <c r="G32"/>
      <c r="H32"/>
      <c r="I32"/>
      <c r="J32"/>
      <c r="K32"/>
      <c r="P32" s="758" t="s">
        <v>667</v>
      </c>
      <c r="Q32" s="759"/>
      <c r="R32" s="759"/>
      <c r="S32" s="792"/>
      <c r="T32" s="795">
        <v>651</v>
      </c>
      <c r="U32" s="877"/>
      <c r="X32"/>
      <c r="Y32"/>
      <c r="Z32"/>
      <c r="AA32"/>
      <c r="AB32"/>
    </row>
    <row r="33" spans="1:28" s="3" customFormat="1" ht="15" customHeight="1">
      <c r="A33"/>
      <c r="B33" s="369"/>
      <c r="D33"/>
      <c r="E33"/>
      <c r="F33"/>
      <c r="G33"/>
      <c r="H33"/>
      <c r="I33"/>
      <c r="J33"/>
      <c r="K33"/>
      <c r="P33" s="758" t="s">
        <v>668</v>
      </c>
      <c r="Q33" s="759"/>
      <c r="R33" s="759"/>
      <c r="S33" s="792"/>
      <c r="T33" s="795">
        <v>1263</v>
      </c>
      <c r="U33" s="877"/>
      <c r="X33"/>
      <c r="Y33"/>
      <c r="Z33"/>
      <c r="AA33"/>
      <c r="AB33"/>
    </row>
    <row r="34" spans="2:21" ht="12.75">
      <c r="B34" s="369" t="s">
        <v>641</v>
      </c>
      <c r="C34" s="3"/>
      <c r="L34" s="3"/>
      <c r="M34" s="3"/>
      <c r="N34" s="3"/>
      <c r="O34" s="3"/>
      <c r="P34" s="758" t="s">
        <v>669</v>
      </c>
      <c r="Q34" s="759"/>
      <c r="R34" s="759"/>
      <c r="S34" s="792"/>
      <c r="T34" s="795">
        <v>652</v>
      </c>
      <c r="U34" s="877"/>
    </row>
    <row r="35" spans="2:21" ht="12.75">
      <c r="B35" s="369" t="s">
        <v>642</v>
      </c>
      <c r="O35" s="3"/>
      <c r="P35" s="758" t="s">
        <v>670</v>
      </c>
      <c r="Q35" s="759"/>
      <c r="R35" s="759"/>
      <c r="S35" s="792"/>
      <c r="T35" s="795">
        <v>686</v>
      </c>
      <c r="U35" s="877"/>
    </row>
    <row r="36" spans="16:21" ht="12.75">
      <c r="P36" s="758" t="s">
        <v>671</v>
      </c>
      <c r="Q36" s="759"/>
      <c r="R36" s="759"/>
      <c r="S36" s="792"/>
      <c r="T36" s="795">
        <v>574</v>
      </c>
      <c r="U36" s="877"/>
    </row>
    <row r="37" spans="16:21" ht="13.5" thickBot="1">
      <c r="P37" s="775" t="s">
        <v>672</v>
      </c>
      <c r="Q37" s="776"/>
      <c r="R37" s="776"/>
      <c r="S37" s="878"/>
      <c r="T37" s="875">
        <v>409</v>
      </c>
      <c r="U37" s="876"/>
    </row>
  </sheetData>
  <sheetProtection sheet="1" selectLockedCells="1"/>
  <mergeCells count="47">
    <mergeCell ref="T28:U28"/>
    <mergeCell ref="T26:U26"/>
    <mergeCell ref="T25:U25"/>
    <mergeCell ref="P24:S24"/>
    <mergeCell ref="P29:S29"/>
    <mergeCell ref="P30:S30"/>
    <mergeCell ref="P25:S25"/>
    <mergeCell ref="P26:S26"/>
    <mergeCell ref="P27:S27"/>
    <mergeCell ref="T29:U29"/>
    <mergeCell ref="T22:U22"/>
    <mergeCell ref="T27:U27"/>
    <mergeCell ref="P28:S28"/>
    <mergeCell ref="T24:U24"/>
    <mergeCell ref="B23:F23"/>
    <mergeCell ref="H23:I23"/>
    <mergeCell ref="J23:K23"/>
    <mergeCell ref="L23:M23"/>
    <mergeCell ref="P23:S23"/>
    <mergeCell ref="T23:U23"/>
    <mergeCell ref="D3:F3"/>
    <mergeCell ref="D4:F4"/>
    <mergeCell ref="A6:D6"/>
    <mergeCell ref="E6:P6"/>
    <mergeCell ref="P21:U21"/>
    <mergeCell ref="B22:F22"/>
    <mergeCell ref="H22:I22"/>
    <mergeCell ref="J22:K22"/>
    <mergeCell ref="L22:M22"/>
    <mergeCell ref="P22:S22"/>
    <mergeCell ref="P37:S37"/>
    <mergeCell ref="P34:S34"/>
    <mergeCell ref="P35:S35"/>
    <mergeCell ref="P36:S36"/>
    <mergeCell ref="P31:S31"/>
    <mergeCell ref="P32:S32"/>
    <mergeCell ref="P33:S33"/>
    <mergeCell ref="W19:X19"/>
    <mergeCell ref="A21:N21"/>
    <mergeCell ref="T37:U37"/>
    <mergeCell ref="T36:U36"/>
    <mergeCell ref="T35:U35"/>
    <mergeCell ref="T34:U34"/>
    <mergeCell ref="T33:U33"/>
    <mergeCell ref="T32:U32"/>
    <mergeCell ref="T31:U31"/>
    <mergeCell ref="T30:U30"/>
  </mergeCells>
  <dataValidations count="3">
    <dataValidation type="list" allowBlank="1" showInputMessage="1" showErrorMessage="1" sqref="E9:E18">
      <formula1>Unit_Code_Chillers</formula1>
    </dataValidation>
    <dataValidation type="whole" operator="greaterThanOrEqual" allowBlank="1" showErrorMessage="1" errorTitle="Enter Quantity" error="Please enter the quantity of units - a value equal or greater than zero!" sqref="D9:D18">
      <formula1>0</formula1>
    </dataValidation>
    <dataValidation allowBlank="1" showInputMessage="1" showErrorMessage="1" prompt="Current equipment efficiencies should be used if replacing working equipment. If efficiencies are unknown, use baseline efficiency from  table 3 for new Construction and unknown retrofit efficiencies" sqref="C9:C18"/>
  </dataValidations>
  <printOptions horizontalCentered="1"/>
  <pageMargins left="0.1" right="0.1" top="0.5" bottom="0.25" header="0.5" footer="0.5"/>
  <pageSetup fitToHeight="1" fitToWidth="1" horizontalDpi="600" verticalDpi="600" orientation="landscape" scale="62"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26"/>
  <sheetViews>
    <sheetView zoomScale="103" zoomScaleNormal="103" zoomScalePageLayoutView="0" workbookViewId="0" topLeftCell="A1">
      <selection activeCell="J3" sqref="J3"/>
    </sheetView>
  </sheetViews>
  <sheetFormatPr defaultColWidth="9.140625" defaultRowHeight="12.75"/>
  <cols>
    <col min="1" max="1" width="18.8515625" style="0" customWidth="1"/>
    <col min="2" max="2" width="14.00390625" style="0" customWidth="1"/>
    <col min="3" max="3" width="9.28125" style="0" customWidth="1"/>
    <col min="4" max="4" width="11.00390625" style="0" customWidth="1"/>
    <col min="5" max="5" width="10.7109375" style="0" customWidth="1"/>
    <col min="6" max="6" width="10.57421875" style="0" bestFit="1" customWidth="1"/>
    <col min="7" max="7" width="11.8515625" style="0" customWidth="1"/>
    <col min="8" max="8" width="10.140625" style="0" customWidth="1"/>
    <col min="9" max="9" width="9.7109375" style="0" customWidth="1"/>
    <col min="10" max="11" width="12.57421875" style="0" bestFit="1" customWidth="1"/>
    <col min="12" max="12" width="9.421875" style="0" bestFit="1" customWidth="1"/>
    <col min="13" max="13" width="10.421875" style="0" bestFit="1" customWidth="1"/>
    <col min="14" max="14" width="9.28125" style="0" bestFit="1" customWidth="1"/>
    <col min="15" max="15" width="10.8515625" style="0" bestFit="1" customWidth="1"/>
    <col min="16" max="16" width="11.8515625" style="0" customWidth="1"/>
  </cols>
  <sheetData>
    <row r="1" spans="1:13" s="356" customFormat="1" ht="20.25" thickBot="1">
      <c r="A1" s="495" t="s">
        <v>585</v>
      </c>
      <c r="B1" s="496"/>
      <c r="C1" s="496"/>
      <c r="D1" s="496"/>
      <c r="E1" s="496"/>
      <c r="F1" s="496"/>
      <c r="G1" s="496"/>
      <c r="H1" s="496"/>
      <c r="I1" s="496"/>
      <c r="J1" s="496"/>
      <c r="K1" s="496"/>
      <c r="L1" s="496"/>
      <c r="M1" s="497"/>
    </row>
    <row r="2" spans="1:16" ht="12.75">
      <c r="A2" s="19" t="s">
        <v>587</v>
      </c>
      <c r="B2" s="3">
        <f>'Customer Information'!CustomerName</f>
        <v>0</v>
      </c>
      <c r="C2" s="84"/>
      <c r="D2" s="84"/>
      <c r="E2" s="3"/>
      <c r="F2" s="3"/>
      <c r="G2" s="3"/>
      <c r="H2" s="3"/>
      <c r="I2" s="3"/>
      <c r="J2" s="354" t="s">
        <v>98</v>
      </c>
      <c r="K2" s="354" t="s">
        <v>99</v>
      </c>
      <c r="L2" s="354" t="s">
        <v>588</v>
      </c>
      <c r="M2" s="3"/>
      <c r="N2" s="3"/>
      <c r="O2" s="3"/>
      <c r="P2" s="3"/>
    </row>
    <row r="3" spans="1:16" ht="15" customHeight="1">
      <c r="A3" s="352"/>
      <c r="B3" s="349"/>
      <c r="C3" s="350"/>
      <c r="D3" s="351"/>
      <c r="E3" s="3"/>
      <c r="F3" s="3"/>
      <c r="G3" s="3"/>
      <c r="H3" s="3"/>
      <c r="I3" s="343" t="s">
        <v>100</v>
      </c>
      <c r="J3" s="383">
        <v>10</v>
      </c>
      <c r="K3" s="382">
        <v>0.1</v>
      </c>
      <c r="L3" s="355">
        <f>(J3/(0.55*720)+K3)</f>
        <v>0.12525252525252525</v>
      </c>
      <c r="M3" s="3"/>
      <c r="N3" s="85"/>
      <c r="O3" s="3"/>
      <c r="P3" s="3"/>
    </row>
    <row r="4" spans="1:16" ht="12.75">
      <c r="A4" s="19" t="s">
        <v>586</v>
      </c>
      <c r="B4" s="3">
        <f>'Customer Information'!CustomerInstallAddress</f>
        <v>0</v>
      </c>
      <c r="C4" s="3"/>
      <c r="D4" s="3"/>
      <c r="E4" s="3"/>
      <c r="F4" s="3"/>
      <c r="G4" s="3"/>
      <c r="H4" s="3"/>
      <c r="I4" s="3"/>
      <c r="J4" s="3"/>
      <c r="K4" s="3"/>
      <c r="L4" s="3"/>
      <c r="M4" s="3"/>
      <c r="N4" s="32"/>
      <c r="O4" s="86"/>
      <c r="P4" s="86"/>
    </row>
    <row r="5" spans="1:16" ht="12.75">
      <c r="A5" s="19" t="s">
        <v>4</v>
      </c>
      <c r="B5" s="3">
        <f>'Customer Information'!G13</f>
        <v>0</v>
      </c>
      <c r="C5" s="3"/>
      <c r="D5" s="3"/>
      <c r="E5" s="3"/>
      <c r="F5" s="3"/>
      <c r="G5" s="3"/>
      <c r="H5" s="3"/>
      <c r="I5" s="3"/>
      <c r="J5" s="353"/>
      <c r="K5" s="3"/>
      <c r="L5" s="3"/>
      <c r="M5" s="3"/>
      <c r="N5" s="32"/>
      <c r="O5" s="86"/>
      <c r="P5" s="86"/>
    </row>
    <row r="6" spans="1:13" ht="7.5" customHeight="1" thickBot="1">
      <c r="A6" s="85"/>
      <c r="B6" s="327"/>
      <c r="C6" s="327"/>
      <c r="D6" s="327"/>
      <c r="E6" s="327"/>
      <c r="F6" s="327"/>
      <c r="G6" s="327"/>
      <c r="H6" s="327"/>
      <c r="I6" s="85"/>
      <c r="J6" s="85"/>
      <c r="K6" s="85"/>
      <c r="L6" s="85"/>
      <c r="M6" s="85"/>
    </row>
    <row r="7" spans="1:16" s="86" customFormat="1" ht="13.5" thickBot="1">
      <c r="A7" s="908" t="s">
        <v>237</v>
      </c>
      <c r="B7" s="909"/>
      <c r="C7" s="909"/>
      <c r="D7" s="910"/>
      <c r="E7"/>
      <c r="F7" s="903" t="s">
        <v>16</v>
      </c>
      <c r="G7" s="904"/>
      <c r="H7" s="904"/>
      <c r="I7" s="904"/>
      <c r="J7" s="905"/>
      <c r="K7" s="906" t="s">
        <v>101</v>
      </c>
      <c r="L7" s="906"/>
      <c r="M7" s="907"/>
      <c r="N7"/>
      <c r="O7"/>
      <c r="P7"/>
    </row>
    <row r="8" spans="1:13" ht="13.5" customHeight="1" hidden="1" thickBot="1">
      <c r="A8" s="342"/>
      <c r="B8" s="342"/>
      <c r="C8" s="342"/>
      <c r="D8" s="342"/>
      <c r="F8" s="342"/>
      <c r="G8" s="342"/>
      <c r="H8" s="342"/>
      <c r="I8" s="342"/>
      <c r="J8" s="342"/>
      <c r="K8" s="501"/>
      <c r="L8" s="342"/>
      <c r="M8" s="342"/>
    </row>
    <row r="9" spans="1:13" ht="13.5" customHeight="1" hidden="1" thickBot="1">
      <c r="A9" s="498" t="s">
        <v>237</v>
      </c>
      <c r="B9" s="498"/>
      <c r="C9" s="498"/>
      <c r="D9" s="498"/>
      <c r="F9" s="498"/>
      <c r="G9" s="498"/>
      <c r="H9" s="498" t="s">
        <v>16</v>
      </c>
      <c r="I9" s="498"/>
      <c r="J9" s="498"/>
      <c r="K9" s="502"/>
      <c r="L9" s="498"/>
      <c r="M9" s="498"/>
    </row>
    <row r="10" spans="1:16" ht="13.5" hidden="1" thickBot="1">
      <c r="A10" s="504"/>
      <c r="B10" s="505"/>
      <c r="C10" s="505"/>
      <c r="D10" s="506"/>
      <c r="F10" s="504"/>
      <c r="G10" s="505"/>
      <c r="H10" s="505"/>
      <c r="I10" s="505"/>
      <c r="J10" s="506"/>
      <c r="K10" s="507"/>
      <c r="L10" s="505"/>
      <c r="M10" s="506"/>
      <c r="P10" s="252"/>
    </row>
    <row r="11" spans="1:13" ht="34.5" thickBot="1">
      <c r="A11" s="512" t="s">
        <v>250</v>
      </c>
      <c r="B11" s="513" t="s">
        <v>37</v>
      </c>
      <c r="C11" s="513" t="s">
        <v>238</v>
      </c>
      <c r="D11" s="514" t="s">
        <v>239</v>
      </c>
      <c r="E11" s="516" t="s">
        <v>102</v>
      </c>
      <c r="F11" s="512" t="s">
        <v>240</v>
      </c>
      <c r="G11" s="513" t="s">
        <v>535</v>
      </c>
      <c r="H11" s="513" t="s">
        <v>37</v>
      </c>
      <c r="I11" s="513" t="s">
        <v>241</v>
      </c>
      <c r="J11" s="514" t="s">
        <v>242</v>
      </c>
      <c r="K11" s="515" t="s">
        <v>243</v>
      </c>
      <c r="L11" s="513" t="s">
        <v>103</v>
      </c>
      <c r="M11" s="514" t="s">
        <v>104</v>
      </c>
    </row>
    <row r="12" spans="1:13" ht="24" customHeight="1">
      <c r="A12" s="508">
        <f>IF('Rebate Information (Rooftops)'!D10="UT-1",'Rebate Information (Rooftops)'!B10*(0.697)+2.0394,'Rebate Information (Rooftops)'!B10)</f>
        <v>9.3</v>
      </c>
      <c r="B12" s="329">
        <f>'Rebate Information (Rooftops)'!C10</f>
        <v>1</v>
      </c>
      <c r="C12" s="330">
        <f>_xlfn.IFERROR('Rebate Information (Rooftops)'!A10*12*B12/A12,"")</f>
        <v>2.5806451612903225</v>
      </c>
      <c r="D12" s="518">
        <f>_xlfn.IFERROR(C12*E12,"")</f>
        <v>0</v>
      </c>
      <c r="E12" s="517">
        <f>'Rebate Information (Rooftops)'!L10</f>
        <v>0</v>
      </c>
      <c r="F12" s="509" t="str">
        <f>CONCATENATE('Rebate Information (Rooftops)'!E10," ",'Rebate Information (Rooftops)'!F10)</f>
        <v> </v>
      </c>
      <c r="G12" s="335">
        <f>IF('Rebate Information (Rooftops)'!D10="UT-1",'Rebate Information (Rooftops)'!J10*(0.697)+2.0394,'Rebate Information (Rooftops)'!J10)</f>
        <v>11</v>
      </c>
      <c r="H12" s="336">
        <f>'Rebate Information (Rooftops)'!K10</f>
        <v>1</v>
      </c>
      <c r="I12" s="330">
        <f>_xlfn.IFERROR('Rebate Information (Rooftops)'!G10*12*H12/G12,"")</f>
        <v>0.5454545454545454</v>
      </c>
      <c r="J12" s="337">
        <f aca="true" t="shared" si="0" ref="J12:J18">_xlfn.IFERROR(I12*E12,"")</f>
        <v>0</v>
      </c>
      <c r="K12" s="510">
        <f aca="true" t="shared" si="1" ref="K12:K18">_xlfn.IFERROR(IF(ISERROR(C12-I12),"",C12-I12)*0.9,"")</f>
        <v>1.8316715542521995</v>
      </c>
      <c r="L12" s="339">
        <f aca="true" t="shared" si="2" ref="L12:L18">IF(ISERROR(D12-J12),"",D12-J12)</f>
        <v>0</v>
      </c>
      <c r="M12" s="511">
        <f>_xlfn.IFERROR(L12*$L$3,"")</f>
        <v>0</v>
      </c>
    </row>
    <row r="13" spans="1:13" ht="24" customHeight="1">
      <c r="A13" s="508">
        <f>IF('Rebate Information (Rooftops)'!D11="UT-1",'Rebate Information (Rooftops)'!B11*(0.697)+2.0394,'Rebate Information (Rooftops)'!B11)</f>
        <v>0</v>
      </c>
      <c r="B13" s="329">
        <f>'Rebate Information (Rooftops)'!C11</f>
        <v>0</v>
      </c>
      <c r="C13" s="330">
        <f>_xlfn.IFERROR('Rebate Information (Rooftops)'!A11*12*B13/A13,"")</f>
      </c>
      <c r="D13" s="519">
        <f aca="true" t="shared" si="3" ref="D13:D18">_xlfn.IFERROR(C13*E13,"")</f>
      </c>
      <c r="E13" s="517">
        <f>'Rebate Information (Rooftops)'!L11</f>
        <v>0</v>
      </c>
      <c r="F13" s="509" t="str">
        <f>CONCATENATE('Rebate Information (Rooftops)'!E11," ",'Rebate Information (Rooftops)'!F11)</f>
        <v> </v>
      </c>
      <c r="G13" s="335">
        <f>IF('Rebate Information (Rooftops)'!D11="UT-1",'Rebate Information (Rooftops)'!J11*(0.697)+2.0394,'Rebate Information (Rooftops)'!J11)</f>
        <v>0</v>
      </c>
      <c r="H13" s="336">
        <f>'Rebate Information (Rooftops)'!K11</f>
        <v>0</v>
      </c>
      <c r="I13" s="330">
        <f>_xlfn.IFERROR('Rebate Information (Rooftops)'!G11*12*H13/G13,"")</f>
      </c>
      <c r="J13" s="337">
        <f t="shared" si="0"/>
      </c>
      <c r="K13" s="503">
        <f t="shared" si="1"/>
      </c>
      <c r="L13" s="499">
        <f t="shared" si="2"/>
      </c>
      <c r="M13" s="500">
        <f aca="true" t="shared" si="4" ref="M13:M18">_xlfn.IFERROR(L13*$L$3,"")</f>
      </c>
    </row>
    <row r="14" spans="1:13" ht="24" customHeight="1">
      <c r="A14" s="508">
        <f>IF('Rebate Information (Rooftops)'!D12="UT-1",'Rebate Information (Rooftops)'!B12*(0.697)+2.0394,'Rebate Information (Rooftops)'!B12)</f>
        <v>0</v>
      </c>
      <c r="B14" s="329">
        <f>'Rebate Information (Rooftops)'!C12</f>
        <v>0</v>
      </c>
      <c r="C14" s="330">
        <f>_xlfn.IFERROR('Rebate Information (Rooftops)'!A12*12*B14/A14,"")</f>
      </c>
      <c r="D14" s="519">
        <f t="shared" si="3"/>
      </c>
      <c r="E14" s="517">
        <f>'Rebate Information (Rooftops)'!L12</f>
        <v>0</v>
      </c>
      <c r="F14" s="509" t="str">
        <f>CONCATENATE('Rebate Information (Rooftops)'!E12," ",'Rebate Information (Rooftops)'!F12)</f>
        <v> </v>
      </c>
      <c r="G14" s="335">
        <f>IF('Rebate Information (Rooftops)'!D12="UT-1",'Rebate Information (Rooftops)'!J12*(0.697)+2.0394,'Rebate Information (Rooftops)'!J12)</f>
        <v>0</v>
      </c>
      <c r="H14" s="336">
        <f>'Rebate Information (Rooftops)'!K12</f>
        <v>0</v>
      </c>
      <c r="I14" s="330">
        <f>_xlfn.IFERROR('Rebate Information (Rooftops)'!G12*12*H14/G14,"")</f>
      </c>
      <c r="J14" s="337">
        <f t="shared" si="0"/>
      </c>
      <c r="K14" s="503">
        <f t="shared" si="1"/>
      </c>
      <c r="L14" s="499">
        <f t="shared" si="2"/>
      </c>
      <c r="M14" s="500">
        <f t="shared" si="4"/>
      </c>
    </row>
    <row r="15" spans="1:13" ht="24" customHeight="1">
      <c r="A15" s="508">
        <f>IF('Rebate Information (Rooftops)'!D13="UT-1",'Rebate Information (Rooftops)'!B13*(0.697)+2.0394,'Rebate Information (Rooftops)'!B13)</f>
        <v>0</v>
      </c>
      <c r="B15" s="329">
        <f>'Rebate Information (Rooftops)'!C13</f>
        <v>0</v>
      </c>
      <c r="C15" s="330">
        <f>_xlfn.IFERROR('Rebate Information (Rooftops)'!A13*12*B15/A15,"")</f>
      </c>
      <c r="D15" s="519">
        <f t="shared" si="3"/>
      </c>
      <c r="E15" s="517">
        <f>'Rebate Information (Rooftops)'!L13</f>
        <v>0</v>
      </c>
      <c r="F15" s="509" t="str">
        <f>CONCATENATE('Rebate Information (Rooftops)'!E13," ",'Rebate Information (Rooftops)'!F13)</f>
        <v> </v>
      </c>
      <c r="G15" s="335">
        <f>IF('Rebate Information (Rooftops)'!D13="UT-1",'Rebate Information (Rooftops)'!J13*(0.697)+2.0394,'Rebate Information (Rooftops)'!J13)</f>
        <v>0</v>
      </c>
      <c r="H15" s="336">
        <f>'Rebate Information (Rooftops)'!K13</f>
        <v>0</v>
      </c>
      <c r="I15" s="330">
        <f>_xlfn.IFERROR('Rebate Information (Rooftops)'!G13*12*H15/G15,"")</f>
      </c>
      <c r="J15" s="337">
        <f t="shared" si="0"/>
      </c>
      <c r="K15" s="503">
        <f t="shared" si="1"/>
      </c>
      <c r="L15" s="499">
        <f t="shared" si="2"/>
      </c>
      <c r="M15" s="500">
        <f t="shared" si="4"/>
      </c>
    </row>
    <row r="16" spans="1:13" ht="24" customHeight="1">
      <c r="A16" s="508">
        <f>IF('Rebate Information (Rooftops)'!D14="UT-1",'Rebate Information (Rooftops)'!B14*(0.697)+2.0394,'Rebate Information (Rooftops)'!B14)</f>
        <v>0</v>
      </c>
      <c r="B16" s="329">
        <f>'Rebate Information (Rooftops)'!C14</f>
        <v>0</v>
      </c>
      <c r="C16" s="330">
        <f>_xlfn.IFERROR('Rebate Information (Rooftops)'!A14*12*B16/A16,"")</f>
      </c>
      <c r="D16" s="519">
        <f t="shared" si="3"/>
      </c>
      <c r="E16" s="517">
        <f>'Rebate Information (Rooftops)'!L14</f>
        <v>0</v>
      </c>
      <c r="F16" s="509" t="str">
        <f>CONCATENATE('Rebate Information (Rooftops)'!E14," ",'Rebate Information (Rooftops)'!F14)</f>
        <v> </v>
      </c>
      <c r="G16" s="335">
        <f>IF('Rebate Information (Rooftops)'!D14="UT-1",'Rebate Information (Rooftops)'!J14*(0.697)+2.0394,'Rebate Information (Rooftops)'!J14)</f>
        <v>0</v>
      </c>
      <c r="H16" s="336">
        <f>'Rebate Information (Rooftops)'!K14</f>
        <v>0</v>
      </c>
      <c r="I16" s="330">
        <f>_xlfn.IFERROR('Rebate Information (Rooftops)'!G14*12*H16/G16,"")</f>
      </c>
      <c r="J16" s="337">
        <f t="shared" si="0"/>
      </c>
      <c r="K16" s="503">
        <f t="shared" si="1"/>
      </c>
      <c r="L16" s="499">
        <f t="shared" si="2"/>
      </c>
      <c r="M16" s="500">
        <f t="shared" si="4"/>
      </c>
    </row>
    <row r="17" spans="1:13" ht="24" customHeight="1">
      <c r="A17" s="508">
        <f>IF('Rebate Information (Rooftops)'!D15="UT-1",'Rebate Information (Rooftops)'!B15*(0.697)+2.0394,'Rebate Information (Rooftops)'!B15)</f>
        <v>0</v>
      </c>
      <c r="B17" s="329">
        <f>'Rebate Information (Rooftops)'!C15</f>
        <v>0</v>
      </c>
      <c r="C17" s="330">
        <f>_xlfn.IFERROR('Rebate Information (Rooftops)'!A15*12*B17/A17,"")</f>
      </c>
      <c r="D17" s="519">
        <f t="shared" si="3"/>
      </c>
      <c r="E17" s="517">
        <f>'Rebate Information (Rooftops)'!L15</f>
        <v>0</v>
      </c>
      <c r="F17" s="509" t="str">
        <f>CONCATENATE('Rebate Information (Rooftops)'!E15," ",'Rebate Information (Rooftops)'!F15)</f>
        <v> </v>
      </c>
      <c r="G17" s="335">
        <f>IF('Rebate Information (Rooftops)'!D15="UT-1",'Rebate Information (Rooftops)'!J15*(0.697)+2.0394,'Rebate Information (Rooftops)'!J15)</f>
        <v>0</v>
      </c>
      <c r="H17" s="336">
        <f>'Rebate Information (Rooftops)'!K15</f>
        <v>0</v>
      </c>
      <c r="I17" s="330">
        <f>_xlfn.IFERROR('Rebate Information (Rooftops)'!G15*12*H17/G17,"")</f>
      </c>
      <c r="J17" s="337">
        <f t="shared" si="0"/>
      </c>
      <c r="K17" s="503">
        <f t="shared" si="1"/>
      </c>
      <c r="L17" s="499">
        <f t="shared" si="2"/>
      </c>
      <c r="M17" s="500">
        <f t="shared" si="4"/>
      </c>
    </row>
    <row r="18" spans="1:13" ht="24" customHeight="1">
      <c r="A18" s="508">
        <f>IF('Rebate Information (Rooftops)'!D16="UT-1",'Rebate Information (Rooftops)'!B16*(0.697)+2.0394,'Rebate Information (Rooftops)'!B16)</f>
        <v>0</v>
      </c>
      <c r="B18" s="329">
        <f>'Rebate Information (Rooftops)'!C16</f>
        <v>0</v>
      </c>
      <c r="C18" s="330">
        <f>_xlfn.IFERROR('Rebate Information (Rooftops)'!A16*12*B18/A18,"")</f>
      </c>
      <c r="D18" s="519">
        <f t="shared" si="3"/>
      </c>
      <c r="E18" s="517">
        <f>'Rebate Information (Rooftops)'!L16</f>
        <v>0</v>
      </c>
      <c r="F18" s="509" t="str">
        <f>CONCATENATE('Rebate Information (Rooftops)'!E16," ",'Rebate Information (Rooftops)'!F16)</f>
        <v> </v>
      </c>
      <c r="G18" s="335">
        <f>IF('Rebate Information (Rooftops)'!D16="UT-1",'Rebate Information (Rooftops)'!J16*(0.697)+2.0394,'Rebate Information (Rooftops)'!J16)</f>
        <v>0</v>
      </c>
      <c r="H18" s="336">
        <f>'Rebate Information (Rooftops)'!K16</f>
        <v>0</v>
      </c>
      <c r="I18" s="330">
        <f>_xlfn.IFERROR('Rebate Information (Rooftops)'!G16*12*H18/G18,"")</f>
      </c>
      <c r="J18" s="337">
        <f t="shared" si="0"/>
      </c>
      <c r="K18" s="503">
        <f t="shared" si="1"/>
      </c>
      <c r="L18" s="499">
        <f t="shared" si="2"/>
      </c>
      <c r="M18" s="500">
        <f t="shared" si="4"/>
      </c>
    </row>
    <row r="19" ht="8.25" customHeight="1" thickBot="1"/>
    <row r="20" spans="1:10" ht="24" customHeight="1" thickBot="1">
      <c r="A20" s="458" t="s">
        <v>237</v>
      </c>
      <c r="B20" s="459"/>
      <c r="C20" s="460" t="s">
        <v>243</v>
      </c>
      <c r="D20" s="461" t="s">
        <v>103</v>
      </c>
      <c r="F20" s="469" t="s">
        <v>16</v>
      </c>
      <c r="G20" s="470"/>
      <c r="H20" s="470"/>
      <c r="I20" s="471" t="s">
        <v>243</v>
      </c>
      <c r="J20" s="472" t="s">
        <v>103</v>
      </c>
    </row>
    <row r="21" spans="1:10" ht="21" customHeight="1">
      <c r="A21" s="462"/>
      <c r="B21" s="463" t="s">
        <v>577</v>
      </c>
      <c r="C21" s="344">
        <f>SUM(C12:C18)</f>
        <v>2.5806451612903225</v>
      </c>
      <c r="D21" s="464">
        <f>SUM(D12:D18)</f>
        <v>0</v>
      </c>
      <c r="F21" s="473"/>
      <c r="G21" s="474"/>
      <c r="H21" s="475" t="s">
        <v>577</v>
      </c>
      <c r="I21" s="345">
        <f>SUM(I12:I18)</f>
        <v>0.5454545454545454</v>
      </c>
      <c r="J21" s="476">
        <f>SUM(J12:J18)</f>
        <v>0</v>
      </c>
    </row>
    <row r="22" spans="1:10" ht="21" customHeight="1" thickBot="1">
      <c r="A22" s="901" t="s">
        <v>578</v>
      </c>
      <c r="B22" s="902"/>
      <c r="C22" s="467"/>
      <c r="D22" s="468">
        <f>D21*$L$3</f>
        <v>0</v>
      </c>
      <c r="E22" s="457"/>
      <c r="F22" s="911" t="s">
        <v>579</v>
      </c>
      <c r="G22" s="912"/>
      <c r="H22" s="912"/>
      <c r="I22" s="479"/>
      <c r="J22" s="480">
        <f>J21*$L$3</f>
        <v>0</v>
      </c>
    </row>
    <row r="23" ht="7.5" customHeight="1" thickBot="1">
      <c r="E23" s="88"/>
    </row>
    <row r="24" spans="6:10" ht="13.5" thickBot="1">
      <c r="F24" s="481" t="s">
        <v>108</v>
      </c>
      <c r="G24" s="482"/>
      <c r="H24" s="482"/>
      <c r="I24" s="483" t="s">
        <v>243</v>
      </c>
      <c r="J24" s="484" t="s">
        <v>103</v>
      </c>
    </row>
    <row r="25" spans="6:10" ht="21" customHeight="1">
      <c r="F25" s="896" t="s">
        <v>580</v>
      </c>
      <c r="G25" s="897"/>
      <c r="H25" s="898"/>
      <c r="I25" s="357">
        <f>C21-I21</f>
        <v>2.035190615835777</v>
      </c>
      <c r="J25" s="488">
        <f>D21-J21</f>
        <v>0</v>
      </c>
    </row>
    <row r="26" spans="6:10" ht="21" customHeight="1" thickBot="1">
      <c r="F26" s="899" t="s">
        <v>581</v>
      </c>
      <c r="G26" s="900"/>
      <c r="H26" s="900"/>
      <c r="I26" s="347"/>
      <c r="J26" s="491">
        <f>D22-J22</f>
        <v>0</v>
      </c>
    </row>
  </sheetData>
  <sheetProtection sheet="1" objects="1" scenarios="1" selectLockedCells="1"/>
  <mergeCells count="7">
    <mergeCell ref="F25:H25"/>
    <mergeCell ref="F26:H26"/>
    <mergeCell ref="A22:B22"/>
    <mergeCell ref="F7:J7"/>
    <mergeCell ref="K7:M7"/>
    <mergeCell ref="A7:D7"/>
    <mergeCell ref="F22:H22"/>
  </mergeCells>
  <conditionalFormatting sqref="F10 D12:D18 M10 L11:M18 A10:C18 F12:F18 E11:E18 H12:I18">
    <cfRule type="cellIs" priority="5" dxfId="0" operator="equal" stopIfTrue="1">
      <formula>0</formula>
    </cfRule>
  </conditionalFormatting>
  <printOptions horizontalCentered="1"/>
  <pageMargins left="0.2" right="0.2" top="0.75" bottom="0.75" header="0.3" footer="0.3"/>
  <pageSetup fitToHeight="1" fitToWidth="1" horizontalDpi="600" verticalDpi="600" orientation="landscape" scale="91"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Z30"/>
  <sheetViews>
    <sheetView zoomScale="106" zoomScaleNormal="106" zoomScalePageLayoutView="0" workbookViewId="0" topLeftCell="A2">
      <selection activeCell="J3" sqref="J3"/>
    </sheetView>
  </sheetViews>
  <sheetFormatPr defaultColWidth="9.140625" defaultRowHeight="12.75"/>
  <cols>
    <col min="1" max="1" width="18.8515625" style="0" customWidth="1"/>
    <col min="2" max="2" width="14.00390625" style="0" customWidth="1"/>
    <col min="3" max="3" width="9.28125" style="0" customWidth="1"/>
    <col min="4" max="4" width="11.00390625" style="0" customWidth="1"/>
    <col min="5" max="5" width="10.7109375" style="0" customWidth="1"/>
    <col min="6" max="6" width="12.7109375" style="0" customWidth="1"/>
    <col min="7" max="7" width="11.8515625" style="0" customWidth="1"/>
    <col min="8" max="8" width="9.140625" style="0" customWidth="1"/>
    <col min="9" max="9" width="9.28125" style="0" customWidth="1"/>
    <col min="10" max="10" width="10.140625" style="0" bestFit="1" customWidth="1"/>
    <col min="11" max="12" width="9.8515625" style="0" bestFit="1" customWidth="1"/>
    <col min="13" max="13" width="10.421875" style="0" bestFit="1" customWidth="1"/>
    <col min="14" max="14" width="9.28125" style="0" bestFit="1" customWidth="1"/>
    <col min="15" max="15" width="10.8515625" style="0" bestFit="1" customWidth="1"/>
    <col min="16" max="16" width="11.8515625" style="0" customWidth="1"/>
  </cols>
  <sheetData>
    <row r="1" spans="1:26" s="2" customFormat="1" ht="21" thickBot="1">
      <c r="A1" s="492" t="s">
        <v>633</v>
      </c>
      <c r="B1" s="493"/>
      <c r="C1" s="493"/>
      <c r="D1" s="493"/>
      <c r="E1" s="493"/>
      <c r="F1" s="493"/>
      <c r="G1" s="493"/>
      <c r="H1" s="493"/>
      <c r="I1" s="493"/>
      <c r="J1" s="493"/>
      <c r="K1" s="493"/>
      <c r="L1" s="493"/>
      <c r="M1" s="494"/>
      <c r="N1" s="3"/>
      <c r="O1" s="3"/>
      <c r="P1" s="3"/>
      <c r="Q1"/>
      <c r="R1"/>
      <c r="S1"/>
      <c r="T1"/>
      <c r="U1" s="4"/>
      <c r="V1" s="4"/>
      <c r="W1" s="4"/>
      <c r="X1" s="4"/>
      <c r="Y1" s="4"/>
      <c r="Z1" s="4"/>
    </row>
    <row r="2" spans="1:16" ht="12.75">
      <c r="A2" s="19" t="s">
        <v>587</v>
      </c>
      <c r="B2" s="3">
        <f>'Customer Information'!CustomerName</f>
        <v>0</v>
      </c>
      <c r="C2" s="84"/>
      <c r="D2" s="84"/>
      <c r="E2" s="3"/>
      <c r="F2" s="3"/>
      <c r="G2" s="3"/>
      <c r="H2" s="3"/>
      <c r="I2" s="3"/>
      <c r="J2" s="354" t="s">
        <v>98</v>
      </c>
      <c r="K2" s="354" t="s">
        <v>99</v>
      </c>
      <c r="L2" s="354" t="s">
        <v>588</v>
      </c>
      <c r="N2" s="3"/>
      <c r="O2" s="3"/>
      <c r="P2" s="3"/>
    </row>
    <row r="3" spans="1:16" ht="13.5" customHeight="1">
      <c r="A3" s="3"/>
      <c r="B3" s="349"/>
      <c r="C3" s="350"/>
      <c r="D3" s="351"/>
      <c r="E3" s="3"/>
      <c r="F3" s="3"/>
      <c r="G3" s="3"/>
      <c r="H3" s="3"/>
      <c r="I3" s="343" t="s">
        <v>100</v>
      </c>
      <c r="J3" s="383">
        <v>10</v>
      </c>
      <c r="K3" s="382">
        <v>0.1</v>
      </c>
      <c r="L3" s="355">
        <f>(J3/(0.55*720)+K3)</f>
        <v>0.12525252525252525</v>
      </c>
      <c r="N3" s="3"/>
      <c r="O3" s="3"/>
      <c r="P3" s="3"/>
    </row>
    <row r="4" spans="1:16" ht="12.75">
      <c r="A4" s="19" t="s">
        <v>586</v>
      </c>
      <c r="B4" s="3">
        <f>'Customer Information'!CustomerInstallAddress</f>
        <v>0</v>
      </c>
      <c r="C4" s="350"/>
      <c r="D4" s="351"/>
      <c r="E4" s="3"/>
      <c r="F4" s="3"/>
      <c r="G4" s="3"/>
      <c r="H4" s="3"/>
      <c r="J4" s="349"/>
      <c r="K4" s="350"/>
      <c r="L4" s="351"/>
      <c r="M4" s="358"/>
      <c r="N4" s="3"/>
      <c r="O4" s="3"/>
      <c r="P4" s="3"/>
    </row>
    <row r="5" spans="1:16" ht="12.75">
      <c r="A5" s="19" t="s">
        <v>4</v>
      </c>
      <c r="B5" s="3">
        <f>'Customer Information'!G13</f>
        <v>0</v>
      </c>
      <c r="C5" s="3"/>
      <c r="D5" s="3"/>
      <c r="E5" s="3"/>
      <c r="F5" s="3"/>
      <c r="G5" s="3"/>
      <c r="H5" s="3"/>
      <c r="I5" s="3"/>
      <c r="J5" s="3"/>
      <c r="K5" s="3"/>
      <c r="L5" s="3"/>
      <c r="M5" s="3"/>
      <c r="N5" s="85"/>
      <c r="O5" s="3"/>
      <c r="P5" s="3"/>
    </row>
    <row r="6" spans="1:16" ht="12.75">
      <c r="A6" s="328" t="s">
        <v>582</v>
      </c>
      <c r="B6" s="328"/>
      <c r="C6" s="328"/>
      <c r="D6" s="328"/>
      <c r="E6" s="328"/>
      <c r="F6" s="328"/>
      <c r="G6" s="328"/>
      <c r="H6" s="328"/>
      <c r="I6" s="328"/>
      <c r="J6" s="328"/>
      <c r="K6" s="328"/>
      <c r="L6" s="328"/>
      <c r="M6" s="328"/>
      <c r="N6" s="32"/>
      <c r="O6" s="86"/>
      <c r="P6" s="86"/>
    </row>
    <row r="7" spans="1:20" ht="9.75" customHeight="1" thickBot="1">
      <c r="A7" s="85"/>
      <c r="B7" s="916"/>
      <c r="C7" s="916"/>
      <c r="D7" s="916"/>
      <c r="E7" s="916"/>
      <c r="F7" s="916"/>
      <c r="G7" s="916"/>
      <c r="H7" s="916"/>
      <c r="I7" s="85"/>
      <c r="J7" s="85"/>
      <c r="K7" s="85"/>
      <c r="L7" s="85"/>
      <c r="M7" s="85"/>
      <c r="Q7" s="86"/>
      <c r="R7" s="86"/>
      <c r="S7" s="86"/>
      <c r="T7" s="86"/>
    </row>
    <row r="8" spans="1:20" s="86" customFormat="1" ht="13.5" thickBot="1">
      <c r="A8" s="908" t="s">
        <v>237</v>
      </c>
      <c r="B8" s="909"/>
      <c r="C8" s="909"/>
      <c r="D8" s="910"/>
      <c r="E8"/>
      <c r="F8" s="903" t="s">
        <v>16</v>
      </c>
      <c r="G8" s="904"/>
      <c r="H8" s="904"/>
      <c r="I8" s="904"/>
      <c r="J8" s="905"/>
      <c r="K8" s="917" t="s">
        <v>101</v>
      </c>
      <c r="L8" s="906"/>
      <c r="M8" s="907"/>
      <c r="N8"/>
      <c r="O8"/>
      <c r="P8"/>
      <c r="Q8"/>
      <c r="R8"/>
      <c r="S8"/>
      <c r="T8"/>
    </row>
    <row r="9" spans="1:13" ht="13.5" hidden="1" thickBot="1">
      <c r="A9" s="520"/>
      <c r="B9" s="87"/>
      <c r="C9" s="87"/>
      <c r="D9" s="521"/>
      <c r="F9" s="520"/>
      <c r="G9" s="342"/>
      <c r="H9" s="342"/>
      <c r="I9" s="342"/>
      <c r="J9" s="342"/>
      <c r="K9" s="342"/>
      <c r="L9" s="342"/>
      <c r="M9" s="342"/>
    </row>
    <row r="10" spans="1:13" ht="13.5" customHeight="1" hidden="1" thickBot="1">
      <c r="A10" s="913" t="s">
        <v>237</v>
      </c>
      <c r="B10" s="914"/>
      <c r="C10" s="914"/>
      <c r="D10" s="915"/>
      <c r="F10" s="528"/>
      <c r="G10" s="341"/>
      <c r="H10" s="341" t="s">
        <v>16</v>
      </c>
      <c r="I10" s="341"/>
      <c r="J10" s="341"/>
      <c r="K10" s="341"/>
      <c r="L10" s="341"/>
      <c r="M10" s="341"/>
    </row>
    <row r="11" spans="1:16" ht="13.5" hidden="1" thickBot="1">
      <c r="A11" s="331"/>
      <c r="B11" s="331"/>
      <c r="C11" s="331"/>
      <c r="D11" s="331"/>
      <c r="F11" s="333"/>
      <c r="G11" s="331"/>
      <c r="H11" s="331"/>
      <c r="I11" s="331"/>
      <c r="J11" s="331"/>
      <c r="K11" s="331"/>
      <c r="L11" s="331"/>
      <c r="M11" s="331"/>
      <c r="P11" s="252"/>
    </row>
    <row r="12" spans="1:13" ht="34.5" thickBot="1">
      <c r="A12" s="332" t="s">
        <v>590</v>
      </c>
      <c r="B12" s="332" t="s">
        <v>37</v>
      </c>
      <c r="C12" s="332" t="s">
        <v>238</v>
      </c>
      <c r="D12" s="332" t="s">
        <v>239</v>
      </c>
      <c r="E12" s="526" t="s">
        <v>102</v>
      </c>
      <c r="F12" s="334" t="s">
        <v>240</v>
      </c>
      <c r="G12" s="332" t="s">
        <v>591</v>
      </c>
      <c r="H12" s="332" t="s">
        <v>37</v>
      </c>
      <c r="I12" s="332" t="s">
        <v>241</v>
      </c>
      <c r="J12" s="332" t="s">
        <v>242</v>
      </c>
      <c r="K12" s="332" t="s">
        <v>243</v>
      </c>
      <c r="L12" s="332" t="s">
        <v>103</v>
      </c>
      <c r="M12" s="332" t="s">
        <v>104</v>
      </c>
    </row>
    <row r="13" spans="1:13" ht="24" customHeight="1">
      <c r="A13" s="508">
        <f>'Rebate Information (Chillers-W)'!C9</f>
        <v>0</v>
      </c>
      <c r="B13" s="329">
        <f>'Rebate Information (Chillers-W)'!D9</f>
        <v>0</v>
      </c>
      <c r="C13" s="378">
        <f>_xlfn.IFERROR('Rebate Information (Chillers-W)'!C9*'Rebate Information (Chillers-W)'!B9*'Rebate Information (Chillers-W)'!D9,"")</f>
        <v>0</v>
      </c>
      <c r="D13" s="518">
        <f>_xlfn.IFERROR(C13*E13,"")</f>
        <v>0</v>
      </c>
      <c r="E13" s="527">
        <f>_xlfn.IFERROR('Rebate Information (Chillers-W)'!O9,"")</f>
        <v>0</v>
      </c>
      <c r="F13" s="509" t="str">
        <f>CONCATENATE('Rebate Information (Chillers-W)'!G9," ",'Rebate Information (Chillers)1'!F9)</f>
        <v> </v>
      </c>
      <c r="G13" s="335">
        <f>IF(ISNUMBER('Rebate Information (Chillers-W)'!J9),'Rebate Information (Chillers-W)'!J9,"")</f>
      </c>
      <c r="H13" s="336">
        <f>IF(ISNUMBER('Rebate Information (Chillers-W)'!M9),'Rebate Information (Chillers-W)'!M9,"")</f>
      </c>
      <c r="I13" s="330">
        <f>_xlfn.IFERROR('Rebate Information (Chillers-W)'!J9*'Rebate Information (Chillers-W)'!H9*'Rebate Information (Chillers-W)'!M9,"")</f>
        <v>0</v>
      </c>
      <c r="J13" s="337">
        <f aca="true" t="shared" si="0" ref="J13:J22">_xlfn.IFERROR(I13*E13,"")</f>
        <v>0</v>
      </c>
      <c r="K13" s="338">
        <f>_xlfn.IFERROR(IF(ISERROR(C13-I13),"",C13-I13)*0.9,"")</f>
        <v>0</v>
      </c>
      <c r="L13" s="339">
        <f>IF(ISERROR(D13-J13),"",D13-J13)</f>
        <v>0</v>
      </c>
      <c r="M13" s="380">
        <f aca="true" t="shared" si="1" ref="M13:M22">_xlfn.IFERROR(L13*$L$3,"")</f>
        <v>0</v>
      </c>
    </row>
    <row r="14" spans="1:13" ht="24" customHeight="1">
      <c r="A14" s="508">
        <f>'Rebate Information (Chillers-W)'!C10</f>
        <v>0</v>
      </c>
      <c r="B14" s="329">
        <f>'Rebate Information (Chillers-W)'!D10</f>
        <v>0</v>
      </c>
      <c r="C14" s="378">
        <f>_xlfn.IFERROR('Rebate Information (Chillers-W)'!C10*'Rebate Information (Chillers-W)'!B10*'Rebate Information (Chillers-W)'!D10,"")</f>
        <v>0</v>
      </c>
      <c r="D14" s="518">
        <f aca="true" t="shared" si="2" ref="D14:D22">_xlfn.IFERROR(C14*E14,"")</f>
        <v>0</v>
      </c>
      <c r="E14" s="527">
        <f>'Rebate Information (Chillers-W)'!O10</f>
        <v>0</v>
      </c>
      <c r="F14" s="509" t="str">
        <f>CONCATENATE('Rebate Information (Chillers-W)'!G10," ",'Rebate Information (Chillers)1'!F10)</f>
        <v> </v>
      </c>
      <c r="G14" s="335">
        <f>IF(ISNUMBER('Rebate Information (Chillers-W)'!J10),'Rebate Information (Chillers-W)'!J10,"")</f>
      </c>
      <c r="H14" s="336">
        <f>IF(ISNUMBER('Rebate Information (Chillers-W)'!M10),'Rebate Information (Chillers-W)'!M10,"")</f>
      </c>
      <c r="I14" s="330">
        <f>_xlfn.IFERROR('Rebate Information (Chillers-W)'!J10*'Rebate Information (Chillers-W)'!H10*'Rebate Information (Chillers-W)'!M10,"")</f>
        <v>0</v>
      </c>
      <c r="J14" s="337">
        <f t="shared" si="0"/>
        <v>0</v>
      </c>
      <c r="K14" s="338">
        <f aca="true" t="shared" si="3" ref="K14:K22">_xlfn.IFERROR(IF(ISERROR(C14-I14),"",C14-I14)*0.9,"")</f>
        <v>0</v>
      </c>
      <c r="L14" s="339">
        <f aca="true" t="shared" si="4" ref="L14:L22">IF(ISERROR(D14-J14),"",D14-J14)</f>
        <v>0</v>
      </c>
      <c r="M14" s="340">
        <f t="shared" si="1"/>
        <v>0</v>
      </c>
    </row>
    <row r="15" spans="1:13" ht="24" customHeight="1">
      <c r="A15" s="508">
        <f>'Rebate Information (Chillers-W)'!C11</f>
        <v>0</v>
      </c>
      <c r="B15" s="329">
        <f>'Rebate Information (Chillers-W)'!D11</f>
        <v>0</v>
      </c>
      <c r="C15" s="378">
        <f>_xlfn.IFERROR('Rebate Information (Chillers-W)'!C11*'Rebate Information (Chillers-W)'!B11*'Rebate Information (Chillers-W)'!D11,"")</f>
        <v>0</v>
      </c>
      <c r="D15" s="518">
        <f t="shared" si="2"/>
        <v>0</v>
      </c>
      <c r="E15" s="527">
        <f>'Rebate Information (Chillers-W)'!O11</f>
        <v>0</v>
      </c>
      <c r="F15" s="509" t="str">
        <f>CONCATENATE('Rebate Information (Chillers-W)'!G11," ",'Rebate Information (Chillers)1'!F11)</f>
        <v> </v>
      </c>
      <c r="G15" s="335">
        <f>IF(ISNUMBER('Rebate Information (Chillers-W)'!J11),'Rebate Information (Chillers-W)'!J11,"")</f>
      </c>
      <c r="H15" s="336">
        <f>IF(ISNUMBER('Rebate Information (Chillers-W)'!M11),'Rebate Information (Chillers-W)'!M11,"")</f>
      </c>
      <c r="I15" s="330">
        <f>_xlfn.IFERROR('Rebate Information (Chillers-W)'!J11*'Rebate Information (Chillers-W)'!H11*'Rebate Information (Chillers-W)'!M11,"")</f>
        <v>0</v>
      </c>
      <c r="J15" s="337">
        <f t="shared" si="0"/>
        <v>0</v>
      </c>
      <c r="K15" s="338">
        <f t="shared" si="3"/>
        <v>0</v>
      </c>
      <c r="L15" s="339">
        <f t="shared" si="4"/>
        <v>0</v>
      </c>
      <c r="M15" s="340">
        <f t="shared" si="1"/>
        <v>0</v>
      </c>
    </row>
    <row r="16" spans="1:13" ht="24" customHeight="1">
      <c r="A16" s="508">
        <f>'Rebate Information (Chillers-W)'!C12</f>
        <v>0</v>
      </c>
      <c r="B16" s="329">
        <f>'Rebate Information (Chillers-W)'!D12</f>
        <v>0</v>
      </c>
      <c r="C16" s="378">
        <f>_xlfn.IFERROR('Rebate Information (Chillers-W)'!C12*'Rebate Information (Chillers-W)'!B12*'Rebate Information (Chillers-W)'!D12,"")</f>
        <v>0</v>
      </c>
      <c r="D16" s="518">
        <f t="shared" si="2"/>
        <v>0</v>
      </c>
      <c r="E16" s="527">
        <f>'Rebate Information (Chillers-W)'!O12</f>
        <v>0</v>
      </c>
      <c r="F16" s="509" t="str">
        <f>CONCATENATE('Rebate Information (Chillers-W)'!G12," ",'Rebate Information (Chillers)1'!F12)</f>
        <v> </v>
      </c>
      <c r="G16" s="335">
        <f>IF(ISNUMBER('Rebate Information (Chillers-W)'!J12),'Rebate Information (Chillers-W)'!J12,"")</f>
      </c>
      <c r="H16" s="336">
        <f>IF(ISNUMBER('Rebate Information (Chillers-W)'!M12),'Rebate Information (Chillers-W)'!M12,"")</f>
      </c>
      <c r="I16" s="330">
        <f>_xlfn.IFERROR('Rebate Information (Chillers-W)'!J12*'Rebate Information (Chillers-W)'!H12*'Rebate Information (Chillers-W)'!M12,"")</f>
        <v>0</v>
      </c>
      <c r="J16" s="337">
        <f t="shared" si="0"/>
        <v>0</v>
      </c>
      <c r="K16" s="338">
        <f t="shared" si="3"/>
        <v>0</v>
      </c>
      <c r="L16" s="339">
        <f t="shared" si="4"/>
        <v>0</v>
      </c>
      <c r="M16" s="340">
        <f t="shared" si="1"/>
        <v>0</v>
      </c>
    </row>
    <row r="17" spans="1:13" ht="24" customHeight="1">
      <c r="A17" s="508">
        <f>'Rebate Information (Chillers-W)'!C13</f>
        <v>0</v>
      </c>
      <c r="B17" s="329">
        <f>'Rebate Information (Chillers-W)'!D13</f>
        <v>0</v>
      </c>
      <c r="C17" s="378">
        <f>_xlfn.IFERROR('Rebate Information (Chillers-W)'!C13*'Rebate Information (Chillers-W)'!B13*'Rebate Information (Chillers-W)'!D13,"")</f>
        <v>0</v>
      </c>
      <c r="D17" s="518">
        <f t="shared" si="2"/>
        <v>0</v>
      </c>
      <c r="E17" s="527">
        <f>'Rebate Information (Chillers-W)'!O13</f>
        <v>0</v>
      </c>
      <c r="F17" s="509" t="str">
        <f>CONCATENATE('Rebate Information (Chillers-W)'!G13," ",'Rebate Information (Chillers)1'!F13)</f>
        <v> </v>
      </c>
      <c r="G17" s="335">
        <f>IF(ISNUMBER('Rebate Information (Chillers-W)'!J13),'Rebate Information (Chillers-W)'!J13,"")</f>
      </c>
      <c r="H17" s="336">
        <f>IF(ISNUMBER('Rebate Information (Chillers-W)'!M13),'Rebate Information (Chillers-W)'!M13,"")</f>
      </c>
      <c r="I17" s="330">
        <f>_xlfn.IFERROR('Rebate Information (Chillers-W)'!J13*'Rebate Information (Chillers-W)'!H13*'Rebate Information (Chillers-W)'!M13,"")</f>
        <v>0</v>
      </c>
      <c r="J17" s="337">
        <f t="shared" si="0"/>
        <v>0</v>
      </c>
      <c r="K17" s="338">
        <f t="shared" si="3"/>
        <v>0</v>
      </c>
      <c r="L17" s="339">
        <f t="shared" si="4"/>
        <v>0</v>
      </c>
      <c r="M17" s="340">
        <f t="shared" si="1"/>
        <v>0</v>
      </c>
    </row>
    <row r="18" spans="1:13" ht="24" customHeight="1">
      <c r="A18" s="508">
        <f>'Rebate Information (Chillers-W)'!C14</f>
        <v>0</v>
      </c>
      <c r="B18" s="329">
        <f>'Rebate Information (Chillers-W)'!D14</f>
        <v>0</v>
      </c>
      <c r="C18" s="378">
        <f>_xlfn.IFERROR('Rebate Information (Chillers-W)'!C14*'Rebate Information (Chillers-W)'!B14*'Rebate Information (Chillers-W)'!D14,"")</f>
        <v>0</v>
      </c>
      <c r="D18" s="518">
        <f t="shared" si="2"/>
        <v>0</v>
      </c>
      <c r="E18" s="527">
        <f>'Rebate Information (Chillers-W)'!O14</f>
        <v>0</v>
      </c>
      <c r="F18" s="509" t="str">
        <f>CONCATENATE('Rebate Information (Chillers-W)'!G14," ",'Rebate Information (Chillers)1'!F14)</f>
        <v> </v>
      </c>
      <c r="G18" s="335">
        <f>IF(ISNUMBER('Rebate Information (Chillers-W)'!J14),'Rebate Information (Chillers-W)'!J14,"")</f>
      </c>
      <c r="H18" s="336">
        <f>IF(ISNUMBER('Rebate Information (Chillers-W)'!M14),'Rebate Information (Chillers-W)'!M14,"")</f>
      </c>
      <c r="I18" s="330">
        <f>_xlfn.IFERROR('Rebate Information (Chillers-W)'!J14*'Rebate Information (Chillers-W)'!H14*'Rebate Information (Chillers-W)'!M14,"")</f>
        <v>0</v>
      </c>
      <c r="J18" s="337">
        <f t="shared" si="0"/>
        <v>0</v>
      </c>
      <c r="K18" s="338">
        <f t="shared" si="3"/>
        <v>0</v>
      </c>
      <c r="L18" s="339">
        <f t="shared" si="4"/>
        <v>0</v>
      </c>
      <c r="M18" s="340">
        <f t="shared" si="1"/>
        <v>0</v>
      </c>
    </row>
    <row r="19" spans="1:13" ht="24" customHeight="1">
      <c r="A19" s="508">
        <f>'Rebate Information (Chillers-W)'!C15</f>
        <v>0</v>
      </c>
      <c r="B19" s="329">
        <f>'Rebate Information (Chillers-W)'!D15</f>
        <v>0</v>
      </c>
      <c r="C19" s="378">
        <f>_xlfn.IFERROR('Rebate Information (Chillers-W)'!C15*'Rebate Information (Chillers-W)'!B15*'Rebate Information (Chillers-W)'!D15,"")</f>
        <v>0</v>
      </c>
      <c r="D19" s="518">
        <f t="shared" si="2"/>
        <v>0</v>
      </c>
      <c r="E19" s="527">
        <f>'Rebate Information (Chillers-W)'!O15</f>
        <v>0</v>
      </c>
      <c r="F19" s="509" t="str">
        <f>CONCATENATE('Rebate Information (Chillers-W)'!G15," ",'Rebate Information (Chillers)1'!F15)</f>
        <v> </v>
      </c>
      <c r="G19" s="335">
        <f>IF(ISNUMBER('Rebate Information (Chillers-W)'!J15),'Rebate Information (Chillers-W)'!J15,"")</f>
      </c>
      <c r="H19" s="336">
        <f>IF(ISNUMBER('Rebate Information (Chillers-W)'!M15),'Rebate Information (Chillers-W)'!M15,"")</f>
      </c>
      <c r="I19" s="330">
        <f>_xlfn.IFERROR('Rebate Information (Chillers-W)'!J15*'Rebate Information (Chillers-W)'!H15*'Rebate Information (Chillers-W)'!M15,"")</f>
        <v>0</v>
      </c>
      <c r="J19" s="337">
        <f t="shared" si="0"/>
        <v>0</v>
      </c>
      <c r="K19" s="338">
        <f t="shared" si="3"/>
        <v>0</v>
      </c>
      <c r="L19" s="339">
        <f t="shared" si="4"/>
        <v>0</v>
      </c>
      <c r="M19" s="340">
        <f t="shared" si="1"/>
        <v>0</v>
      </c>
    </row>
    <row r="20" spans="1:13" ht="24" customHeight="1">
      <c r="A20" s="508">
        <f>'Rebate Information (Chillers-W)'!C16</f>
        <v>0</v>
      </c>
      <c r="B20" s="329">
        <f>'Rebate Information (Chillers-W)'!D16</f>
        <v>0</v>
      </c>
      <c r="C20" s="378">
        <f>_xlfn.IFERROR('Rebate Information (Chillers-W)'!C16*'Rebate Information (Chillers-W)'!B16*'Rebate Information (Chillers-W)'!D16,"")</f>
        <v>0</v>
      </c>
      <c r="D20" s="518">
        <f t="shared" si="2"/>
        <v>0</v>
      </c>
      <c r="E20" s="527">
        <f>'Rebate Information (Chillers-W)'!O16</f>
        <v>0</v>
      </c>
      <c r="F20" s="509" t="str">
        <f>CONCATENATE('Rebate Information (Chillers-W)'!G16," ",'Rebate Information (Chillers)1'!F16)</f>
        <v> </v>
      </c>
      <c r="G20" s="335">
        <f>IF(ISNUMBER('Rebate Information (Chillers-W)'!J16),'Rebate Information (Chillers-W)'!J16,"")</f>
      </c>
      <c r="H20" s="336">
        <f>IF(ISNUMBER('Rebate Information (Chillers-W)'!M16),'Rebate Information (Chillers-W)'!M16,"")</f>
      </c>
      <c r="I20" s="330">
        <f>_xlfn.IFERROR('Rebate Information (Chillers-W)'!J16*'Rebate Information (Chillers-W)'!H16*'Rebate Information (Chillers-W)'!M16,"")</f>
        <v>0</v>
      </c>
      <c r="J20" s="379">
        <f t="shared" si="0"/>
        <v>0</v>
      </c>
      <c r="K20" s="338">
        <f t="shared" si="3"/>
        <v>0</v>
      </c>
      <c r="L20" s="339">
        <f t="shared" si="4"/>
        <v>0</v>
      </c>
      <c r="M20" s="340">
        <f t="shared" si="1"/>
        <v>0</v>
      </c>
    </row>
    <row r="21" spans="1:13" ht="24" customHeight="1">
      <c r="A21" s="508">
        <f>'Rebate Information (Chillers-W)'!C17</f>
        <v>0</v>
      </c>
      <c r="B21" s="329">
        <f>'Rebate Information (Chillers-W)'!D17</f>
        <v>0</v>
      </c>
      <c r="C21" s="378">
        <f>_xlfn.IFERROR('Rebate Information (Chillers-W)'!C17*'Rebate Information (Chillers-W)'!B17*'Rebate Information (Chillers-W)'!D17,"")</f>
        <v>0</v>
      </c>
      <c r="D21" s="518">
        <f t="shared" si="2"/>
        <v>0</v>
      </c>
      <c r="E21" s="527">
        <f>'Rebate Information (Chillers-W)'!O17</f>
        <v>0</v>
      </c>
      <c r="F21" s="509" t="str">
        <f>CONCATENATE('Rebate Information (Chillers-W)'!G17," ",'Rebate Information (Chillers)1'!F17)</f>
        <v> </v>
      </c>
      <c r="G21" s="335">
        <f>IF(ISNUMBER('Rebate Information (Chillers-W)'!J17),'Rebate Information (Chillers-W)'!J17,"")</f>
      </c>
      <c r="H21" s="336">
        <f>IF(ISNUMBER('Rebate Information (Chillers-W)'!M17),'Rebate Information (Chillers-W)'!M17,"")</f>
      </c>
      <c r="I21" s="330">
        <f>_xlfn.IFERROR('Rebate Information (Chillers-W)'!J17*'Rebate Information (Chillers-W)'!H17*'Rebate Information (Chillers-W)'!M17,"")</f>
        <v>0</v>
      </c>
      <c r="J21" s="337">
        <f t="shared" si="0"/>
        <v>0</v>
      </c>
      <c r="K21" s="338">
        <f t="shared" si="3"/>
        <v>0</v>
      </c>
      <c r="L21" s="339">
        <f t="shared" si="4"/>
        <v>0</v>
      </c>
      <c r="M21" s="340">
        <f t="shared" si="1"/>
        <v>0</v>
      </c>
    </row>
    <row r="22" spans="1:13" ht="24" customHeight="1" thickBot="1">
      <c r="A22" s="522">
        <f>'Rebate Information (Chillers-W)'!C18</f>
        <v>0</v>
      </c>
      <c r="B22" s="523">
        <f>'Rebate Information (Chillers-W)'!D18</f>
        <v>0</v>
      </c>
      <c r="C22" s="524">
        <f>_xlfn.IFERROR('Rebate Information (Chillers-W)'!C18*'Rebate Information (Chillers-W)'!B18*'Rebate Information (Chillers-W)'!D18,"")</f>
        <v>0</v>
      </c>
      <c r="D22" s="525">
        <f t="shared" si="2"/>
        <v>0</v>
      </c>
      <c r="E22" s="527">
        <f>'Rebate Information (Chillers-W)'!O18</f>
        <v>0</v>
      </c>
      <c r="F22" s="529" t="str">
        <f>CONCATENATE('Rebate Information (Chillers-W)'!G18," ",'Rebate Information (Chillers)1'!F18)</f>
        <v> </v>
      </c>
      <c r="G22" s="530">
        <f>IF(ISNUMBER('Rebate Information (Chillers-W)'!J18),'Rebate Information (Chillers-W)'!J18,"")</f>
      </c>
      <c r="H22" s="531">
        <f>IF(ISNUMBER('Rebate Information (Chillers-W)'!M18),'Rebate Information (Chillers-W)'!M18,"")</f>
      </c>
      <c r="I22" s="532">
        <f>_xlfn.IFERROR('Rebate Information (Chillers-W)'!J18*'Rebate Information (Chillers-W)'!H18*'Rebate Information (Chillers-W)'!M18,"")</f>
        <v>0</v>
      </c>
      <c r="J22" s="533">
        <f t="shared" si="0"/>
        <v>0</v>
      </c>
      <c r="K22" s="338">
        <f t="shared" si="3"/>
        <v>0</v>
      </c>
      <c r="L22" s="339">
        <f t="shared" si="4"/>
        <v>0</v>
      </c>
      <c r="M22" s="340">
        <f t="shared" si="1"/>
        <v>0</v>
      </c>
    </row>
    <row r="23" ht="9.75" customHeight="1" thickBot="1"/>
    <row r="24" spans="1:10" ht="21" customHeight="1" thickBot="1">
      <c r="A24" s="458" t="s">
        <v>237</v>
      </c>
      <c r="B24" s="459"/>
      <c r="C24" s="460" t="s">
        <v>243</v>
      </c>
      <c r="D24" s="461" t="s">
        <v>103</v>
      </c>
      <c r="F24" s="469" t="s">
        <v>16</v>
      </c>
      <c r="G24" s="470"/>
      <c r="H24" s="470"/>
      <c r="I24" s="471" t="s">
        <v>243</v>
      </c>
      <c r="J24" s="472" t="s">
        <v>103</v>
      </c>
    </row>
    <row r="25" spans="1:10" ht="21" customHeight="1">
      <c r="A25" s="462"/>
      <c r="B25" s="463" t="s">
        <v>577</v>
      </c>
      <c r="C25" s="344">
        <f>SUM(C13:C22)</f>
        <v>0</v>
      </c>
      <c r="D25" s="464">
        <f>SUM(D13:D22)</f>
        <v>0</v>
      </c>
      <c r="F25" s="473"/>
      <c r="G25" s="474"/>
      <c r="H25" s="475" t="s">
        <v>577</v>
      </c>
      <c r="I25" s="345">
        <f>SUM(I13:I22)</f>
        <v>0</v>
      </c>
      <c r="J25" s="476">
        <f>SUM(J13:J22)</f>
        <v>0</v>
      </c>
    </row>
    <row r="26" spans="1:10" ht="21" customHeight="1" thickBot="1">
      <c r="A26" s="465"/>
      <c r="B26" s="466" t="s">
        <v>578</v>
      </c>
      <c r="C26" s="467"/>
      <c r="D26" s="468">
        <f>D25*$L$3</f>
        <v>0</v>
      </c>
      <c r="E26" s="457"/>
      <c r="F26" s="477"/>
      <c r="G26" s="346"/>
      <c r="H26" s="478" t="s">
        <v>579</v>
      </c>
      <c r="I26" s="479"/>
      <c r="J26" s="480">
        <f>J25*$L$3</f>
        <v>0</v>
      </c>
    </row>
    <row r="27" ht="6.75" customHeight="1" thickBot="1">
      <c r="E27" s="88"/>
    </row>
    <row r="28" spans="5:10" ht="21" customHeight="1" thickBot="1">
      <c r="E28" s="88"/>
      <c r="F28" s="481" t="s">
        <v>101</v>
      </c>
      <c r="G28" s="482"/>
      <c r="H28" s="482"/>
      <c r="I28" s="483" t="s">
        <v>243</v>
      </c>
      <c r="J28" s="484" t="s">
        <v>103</v>
      </c>
    </row>
    <row r="29" spans="6:10" ht="21" customHeight="1">
      <c r="F29" s="485"/>
      <c r="G29" s="486"/>
      <c r="H29" s="487" t="s">
        <v>580</v>
      </c>
      <c r="I29" s="357">
        <f>C25-I25</f>
        <v>0</v>
      </c>
      <c r="J29" s="534">
        <f>D25-J25</f>
        <v>0</v>
      </c>
    </row>
    <row r="30" spans="6:10" ht="21" customHeight="1" thickBot="1">
      <c r="F30" s="489"/>
      <c r="G30" s="348"/>
      <c r="H30" s="490" t="s">
        <v>581</v>
      </c>
      <c r="I30" s="347"/>
      <c r="J30" s="491">
        <f>D26-J26</f>
        <v>0</v>
      </c>
    </row>
    <row r="31" ht="23.25" customHeight="1"/>
  </sheetData>
  <sheetProtection sheet="1" objects="1" scenarios="1" selectLockedCells="1"/>
  <mergeCells count="5">
    <mergeCell ref="A10:D10"/>
    <mergeCell ref="B7:H7"/>
    <mergeCell ref="K8:M8"/>
    <mergeCell ref="A8:D8"/>
    <mergeCell ref="F8:J8"/>
  </mergeCells>
  <conditionalFormatting sqref="F11 M11 F13:F22 D13:D22 I13:I22 L12:M22 A11:C22 E12:E22">
    <cfRule type="cellIs" priority="1" dxfId="0" operator="equal" stopIfTrue="1">
      <formula>0</formula>
    </cfRule>
  </conditionalFormatting>
  <printOptions horizontalCentered="1"/>
  <pageMargins left="0.2" right="0.2" top="0.75" bottom="0.75" header="0.3" footer="0.3"/>
  <pageSetup fitToHeight="1" fitToWidth="1" horizontalDpi="600" verticalDpi="600" orientation="landscape" scale="93"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Z30"/>
  <sheetViews>
    <sheetView zoomScalePageLayoutView="0" workbookViewId="0" topLeftCell="A1">
      <selection activeCell="J3" sqref="J3"/>
    </sheetView>
  </sheetViews>
  <sheetFormatPr defaultColWidth="9.140625" defaultRowHeight="12.75"/>
  <cols>
    <col min="1" max="1" width="18.8515625" style="0" customWidth="1"/>
    <col min="2" max="2" width="14.00390625" style="0" customWidth="1"/>
    <col min="3" max="3" width="9.28125" style="0" customWidth="1"/>
    <col min="4" max="4" width="11.00390625" style="0" customWidth="1"/>
    <col min="5" max="5" width="10.7109375" style="0" customWidth="1"/>
    <col min="6" max="6" width="12.7109375" style="0" customWidth="1"/>
    <col min="7" max="7" width="11.8515625" style="0" customWidth="1"/>
    <col min="8" max="8" width="9.140625" style="0" customWidth="1"/>
    <col min="9" max="9" width="9.28125" style="0" customWidth="1"/>
    <col min="10" max="10" width="10.140625" style="0" bestFit="1" customWidth="1"/>
    <col min="11" max="11" width="9.8515625" style="0" bestFit="1" customWidth="1"/>
    <col min="12" max="12" width="10.140625" style="0" bestFit="1" customWidth="1"/>
    <col min="13" max="13" width="10.421875" style="0" bestFit="1" customWidth="1"/>
    <col min="14" max="14" width="9.28125" style="0" bestFit="1" customWidth="1"/>
    <col min="15" max="15" width="10.8515625" style="0" bestFit="1" customWidth="1"/>
    <col min="16" max="16" width="11.8515625" style="0" customWidth="1"/>
  </cols>
  <sheetData>
    <row r="1" spans="1:26" s="2" customFormat="1" ht="19.5" customHeight="1" thickBot="1">
      <c r="A1" s="918" t="s">
        <v>632</v>
      </c>
      <c r="B1" s="919"/>
      <c r="C1" s="919"/>
      <c r="D1" s="919"/>
      <c r="E1" s="919"/>
      <c r="F1" s="919"/>
      <c r="G1" s="919"/>
      <c r="H1" s="919"/>
      <c r="I1" s="919"/>
      <c r="J1" s="919"/>
      <c r="K1" s="919"/>
      <c r="L1" s="919"/>
      <c r="M1" s="919"/>
      <c r="N1" s="919"/>
      <c r="O1" s="920"/>
      <c r="P1" s="3"/>
      <c r="Q1"/>
      <c r="R1"/>
      <c r="S1"/>
      <c r="T1"/>
      <c r="U1" s="4"/>
      <c r="V1" s="4"/>
      <c r="W1" s="4"/>
      <c r="X1" s="4"/>
      <c r="Y1" s="4"/>
      <c r="Z1" s="4"/>
    </row>
    <row r="2" spans="1:16" ht="12.75">
      <c r="A2" s="19" t="s">
        <v>587</v>
      </c>
      <c r="B2" s="3">
        <f>'Customer Information'!CustomerName</f>
        <v>0</v>
      </c>
      <c r="C2" s="84"/>
      <c r="D2" s="84"/>
      <c r="E2" s="3"/>
      <c r="F2" s="3"/>
      <c r="G2" s="3"/>
      <c r="H2" s="3"/>
      <c r="I2" s="3"/>
      <c r="J2" s="354" t="s">
        <v>98</v>
      </c>
      <c r="K2" s="354" t="s">
        <v>99</v>
      </c>
      <c r="L2" s="354" t="s">
        <v>588</v>
      </c>
      <c r="N2" s="3"/>
      <c r="O2" s="3"/>
      <c r="P2" s="3"/>
    </row>
    <row r="3" spans="1:16" ht="13.5" customHeight="1">
      <c r="A3" s="3"/>
      <c r="B3" s="349"/>
      <c r="C3" s="350"/>
      <c r="D3" s="351"/>
      <c r="E3" s="3"/>
      <c r="F3" s="3"/>
      <c r="G3" s="3"/>
      <c r="H3" s="3"/>
      <c r="I3" s="343" t="s">
        <v>100</v>
      </c>
      <c r="J3" s="383">
        <v>10</v>
      </c>
      <c r="K3" s="382">
        <v>0.1</v>
      </c>
      <c r="L3" s="355">
        <f>(J3/(0.55*720)+K3)</f>
        <v>0.12525252525252525</v>
      </c>
      <c r="N3" s="3"/>
      <c r="O3" s="3"/>
      <c r="P3" s="3"/>
    </row>
    <row r="4" spans="1:16" ht="12.75">
      <c r="A4" s="19" t="s">
        <v>586</v>
      </c>
      <c r="B4" s="3">
        <f>'Customer Information'!CustomerInstallAddress</f>
        <v>0</v>
      </c>
      <c r="C4" s="350"/>
      <c r="D4" s="351"/>
      <c r="E4" s="3"/>
      <c r="F4" s="3"/>
      <c r="G4" s="3"/>
      <c r="H4" s="3"/>
      <c r="J4" s="349"/>
      <c r="K4" s="350"/>
      <c r="L4" s="351"/>
      <c r="M4" s="358"/>
      <c r="N4" s="3"/>
      <c r="O4" s="3"/>
      <c r="P4" s="3"/>
    </row>
    <row r="5" spans="1:16" ht="12.75">
      <c r="A5" s="19" t="s">
        <v>4</v>
      </c>
      <c r="B5" s="3">
        <f>'Customer Information'!G13</f>
        <v>0</v>
      </c>
      <c r="C5" s="3"/>
      <c r="D5" s="3"/>
      <c r="E5" s="3"/>
      <c r="F5" s="3"/>
      <c r="G5" s="3"/>
      <c r="H5" s="3"/>
      <c r="I5" s="3"/>
      <c r="J5" s="3"/>
      <c r="K5" s="3"/>
      <c r="L5" s="3"/>
      <c r="M5" s="3"/>
      <c r="N5" s="85"/>
      <c r="O5" s="3"/>
      <c r="P5" s="3"/>
    </row>
    <row r="6" spans="1:16" ht="12.75">
      <c r="A6" s="921" t="s">
        <v>582</v>
      </c>
      <c r="B6" s="921"/>
      <c r="C6" s="921"/>
      <c r="D6" s="921"/>
      <c r="E6" s="921"/>
      <c r="F6" s="921"/>
      <c r="G6" s="921"/>
      <c r="H6" s="921"/>
      <c r="I6" s="921"/>
      <c r="J6" s="921"/>
      <c r="K6" s="921"/>
      <c r="L6" s="921"/>
      <c r="M6" s="921"/>
      <c r="N6" s="921"/>
      <c r="O6" s="921"/>
      <c r="P6" s="86"/>
    </row>
    <row r="7" spans="1:20" ht="4.5" customHeight="1" thickBot="1">
      <c r="A7" s="85"/>
      <c r="B7" s="916"/>
      <c r="C7" s="916"/>
      <c r="D7" s="916"/>
      <c r="E7" s="916"/>
      <c r="F7" s="916"/>
      <c r="G7" s="916"/>
      <c r="H7" s="916"/>
      <c r="I7" s="85"/>
      <c r="J7" s="85"/>
      <c r="K7" s="85"/>
      <c r="L7" s="85"/>
      <c r="M7" s="85"/>
      <c r="Q7" s="86"/>
      <c r="R7" s="86"/>
      <c r="S7" s="86"/>
      <c r="T7" s="86"/>
    </row>
    <row r="8" spans="1:22" s="86" customFormat="1" ht="13.5" thickBot="1">
      <c r="A8" s="908" t="s">
        <v>237</v>
      </c>
      <c r="B8" s="909"/>
      <c r="C8" s="909"/>
      <c r="D8" s="909"/>
      <c r="E8" s="910"/>
      <c r="F8"/>
      <c r="G8" s="903" t="s">
        <v>16</v>
      </c>
      <c r="H8" s="904"/>
      <c r="I8" s="904"/>
      <c r="J8" s="904"/>
      <c r="K8" s="904"/>
      <c r="L8" s="905"/>
      <c r="M8" s="917" t="s">
        <v>101</v>
      </c>
      <c r="N8" s="906"/>
      <c r="O8" s="907"/>
      <c r="P8"/>
      <c r="Q8"/>
      <c r="R8"/>
      <c r="S8"/>
      <c r="T8"/>
      <c r="U8"/>
      <c r="V8"/>
    </row>
    <row r="9" spans="1:15" ht="13.5" customHeight="1" hidden="1" thickBot="1">
      <c r="A9" s="520"/>
      <c r="B9" s="87"/>
      <c r="C9" s="87"/>
      <c r="D9" s="87"/>
      <c r="E9" s="521"/>
      <c r="F9" s="87"/>
      <c r="G9" s="520"/>
      <c r="H9" s="535"/>
      <c r="I9" s="535"/>
      <c r="J9" s="535"/>
      <c r="K9" s="535"/>
      <c r="L9" s="535"/>
      <c r="M9" s="342"/>
      <c r="N9" s="342"/>
      <c r="O9" s="342"/>
    </row>
    <row r="10" spans="1:15" ht="13.5" customHeight="1" hidden="1" thickBot="1">
      <c r="A10" s="528" t="s">
        <v>237</v>
      </c>
      <c r="B10" s="387"/>
      <c r="C10" s="387"/>
      <c r="D10" s="387"/>
      <c r="E10" s="388"/>
      <c r="F10" s="387"/>
      <c r="G10" s="528"/>
      <c r="H10" s="341"/>
      <c r="I10" s="341"/>
      <c r="J10" s="341" t="s">
        <v>16</v>
      </c>
      <c r="K10" s="341"/>
      <c r="L10" s="341"/>
      <c r="M10" s="341"/>
      <c r="N10" s="341"/>
      <c r="O10" s="341"/>
    </row>
    <row r="11" spans="1:18" ht="13.5" hidden="1" thickBot="1">
      <c r="A11" s="331"/>
      <c r="B11" s="331"/>
      <c r="C11" s="331"/>
      <c r="D11" s="331"/>
      <c r="E11" s="331"/>
      <c r="F11" s="536"/>
      <c r="G11" s="333"/>
      <c r="H11" s="331"/>
      <c r="I11" s="331"/>
      <c r="J11" s="331"/>
      <c r="K11" s="331"/>
      <c r="L11" s="331"/>
      <c r="M11" s="331"/>
      <c r="N11" s="331"/>
      <c r="O11" s="331"/>
      <c r="R11" s="252"/>
    </row>
    <row r="12" spans="1:15" ht="34.5" thickBot="1">
      <c r="A12" s="332" t="s">
        <v>650</v>
      </c>
      <c r="B12" s="332" t="s">
        <v>652</v>
      </c>
      <c r="C12" s="332" t="s">
        <v>37</v>
      </c>
      <c r="D12" s="332" t="s">
        <v>238</v>
      </c>
      <c r="E12" s="332" t="s">
        <v>239</v>
      </c>
      <c r="F12" s="526" t="s">
        <v>102</v>
      </c>
      <c r="G12" s="334" t="s">
        <v>240</v>
      </c>
      <c r="H12" s="332" t="s">
        <v>653</v>
      </c>
      <c r="I12" s="332" t="s">
        <v>654</v>
      </c>
      <c r="J12" s="332" t="s">
        <v>37</v>
      </c>
      <c r="K12" s="332" t="s">
        <v>241</v>
      </c>
      <c r="L12" s="332" t="s">
        <v>242</v>
      </c>
      <c r="M12" s="332" t="s">
        <v>243</v>
      </c>
      <c r="N12" s="332" t="s">
        <v>103</v>
      </c>
      <c r="O12" s="332" t="s">
        <v>104</v>
      </c>
    </row>
    <row r="13" spans="1:15" ht="24" customHeight="1">
      <c r="A13" s="508">
        <f>'Rebate Information (Chillers-A)'!C9</f>
        <v>0</v>
      </c>
      <c r="B13" s="329">
        <f>'Rebate Information (Chillers-A)'!K9</f>
      </c>
      <c r="C13" s="329">
        <f>'Rebate Information (Chillers-A)'!D9</f>
        <v>0</v>
      </c>
      <c r="D13" s="378">
        <f>_xlfn.IFERROR(12/'Rebate Information (Chillers-A)'!C9*'Rebate Information (Chillers-A)'!B9*'Rebate Information (Chillers-A)'!D9,"")</f>
      </c>
      <c r="E13" s="518">
        <f>_xlfn.IFERROR(12/B13*'Rebate Information (Chillers-A)'!B9*'Air Cooled Chillers Savings'!F13*C13,"")</f>
      </c>
      <c r="F13" s="527">
        <f>_xlfn.IFERROR('Rebate Information (Chillers-A)'!O9,"")</f>
        <v>0</v>
      </c>
      <c r="G13" s="509" t="str">
        <f>CONCATENATE('Rebate Information (Chillers-A)'!G9," ",'Rebate Information (Chillers-A)'!F9)</f>
        <v> </v>
      </c>
      <c r="H13" s="335">
        <f>IF(ISNUMBER('Rebate Information (Chillers-A)'!J9),'Rebate Information (Chillers-A)'!J9,"")</f>
      </c>
      <c r="I13" s="335">
        <f>'Rebate Information (Chillers-A)'!L9</f>
        <v>0</v>
      </c>
      <c r="J13" s="336">
        <f>IF(ISNUMBER('Rebate Information (Chillers-A)'!M9),'Rebate Information (Chillers-A)'!M9,"")</f>
      </c>
      <c r="K13" s="330">
        <f>_xlfn.IFERROR(12/'Rebate Information (Chillers-A)'!J9*'Rebate Information (Chillers-A)'!H9*'Rebate Information (Chillers-A)'!M9,"")</f>
      </c>
      <c r="L13" s="337">
        <f>_xlfn.IFERROR(12/I13*'Rebate Information (Chillers-A)'!H9*F13*'Air Cooled Chillers Savings'!J13,"")</f>
      </c>
      <c r="M13" s="338">
        <f aca="true" t="shared" si="0" ref="M13:M22">_xlfn.IFERROR(IF(ISERROR(D13-K13),"",D13-K13)*0.9,"")</f>
      </c>
      <c r="N13" s="339">
        <f aca="true" t="shared" si="1" ref="N13:N22">IF(ISERROR(E13-L13),"",E13-L13)</f>
      </c>
      <c r="O13" s="380">
        <f aca="true" t="shared" si="2" ref="O13:O22">_xlfn.IFERROR(N13*$L$3,"")</f>
      </c>
    </row>
    <row r="14" spans="1:15" ht="24" customHeight="1">
      <c r="A14" s="508">
        <f>'Rebate Information (Chillers-A)'!C10</f>
        <v>0</v>
      </c>
      <c r="B14" s="329">
        <f>'Rebate Information (Chillers-A)'!K10</f>
      </c>
      <c r="C14" s="329">
        <f>'Rebate Information (Chillers-A)'!D10</f>
        <v>0</v>
      </c>
      <c r="D14" s="378">
        <f>_xlfn.IFERROR(12/'Rebate Information (Chillers-A)'!C10*'Rebate Information (Chillers-A)'!B10*'Rebate Information (Chillers-A)'!D10,"")</f>
      </c>
      <c r="E14" s="518">
        <f>_xlfn.IFERROR(12/B14*'Rebate Information (Chillers-A)'!B10*'Air Cooled Chillers Savings'!F14*C14,"")</f>
      </c>
      <c r="F14" s="527">
        <f>_xlfn.IFERROR('Rebate Information (Chillers-A)'!O10,"")</f>
        <v>0</v>
      </c>
      <c r="G14" s="509" t="str">
        <f>CONCATENATE('Rebate Information (Chillers-A)'!G10," ",'Rebate Information (Chillers-A)'!F10)</f>
        <v> </v>
      </c>
      <c r="H14" s="335">
        <f>IF(ISNUMBER('Rebate Information (Chillers-A)'!J10),'Rebate Information (Chillers-A)'!J10,"")</f>
      </c>
      <c r="I14" s="335">
        <f>'Rebate Information (Chillers-A)'!L10</f>
        <v>0</v>
      </c>
      <c r="J14" s="336">
        <f>IF(ISNUMBER('Rebate Information (Chillers-A)'!M10),'Rebate Information (Chillers-A)'!M10,"")</f>
      </c>
      <c r="K14" s="330">
        <f>_xlfn.IFERROR(12/'Rebate Information (Chillers-A)'!J10*'Rebate Information (Chillers-A)'!H10*'Rebate Information (Chillers-A)'!M10,"")</f>
      </c>
      <c r="L14" s="337">
        <f>_xlfn.IFERROR(12/I14*'Rebate Information (Chillers-A)'!H10*F14*'Air Cooled Chillers Savings'!J14,"")</f>
      </c>
      <c r="M14" s="338">
        <f t="shared" si="0"/>
      </c>
      <c r="N14" s="339">
        <f t="shared" si="1"/>
      </c>
      <c r="O14" s="380">
        <f t="shared" si="2"/>
      </c>
    </row>
    <row r="15" spans="1:15" ht="24" customHeight="1">
      <c r="A15" s="508">
        <f>'Rebate Information (Chillers-A)'!C11</f>
        <v>0</v>
      </c>
      <c r="B15" s="329">
        <f>'Rebate Information (Chillers-A)'!K11</f>
      </c>
      <c r="C15" s="329">
        <f>'Rebate Information (Chillers-A)'!D11</f>
        <v>0</v>
      </c>
      <c r="D15" s="378">
        <f>_xlfn.IFERROR(12/'Rebate Information (Chillers-A)'!C11*'Rebate Information (Chillers-A)'!B11*'Rebate Information (Chillers-A)'!D11,"")</f>
      </c>
      <c r="E15" s="518">
        <f>_xlfn.IFERROR(12/B15*'Rebate Information (Chillers-A)'!B11*'Air Cooled Chillers Savings'!F15*C15,"")</f>
      </c>
      <c r="F15" s="527">
        <f>_xlfn.IFERROR('Rebate Information (Chillers-A)'!O11,"")</f>
        <v>0</v>
      </c>
      <c r="G15" s="509" t="str">
        <f>CONCATENATE('Rebate Information (Chillers-A)'!G11," ",'Rebate Information (Chillers-A)'!F11)</f>
        <v> </v>
      </c>
      <c r="H15" s="335">
        <f>IF(ISNUMBER('Rebate Information (Chillers-A)'!J11),'Rebate Information (Chillers-A)'!J11,"")</f>
      </c>
      <c r="I15" s="335">
        <f>'Rebate Information (Chillers-A)'!L11</f>
        <v>0</v>
      </c>
      <c r="J15" s="336">
        <f>IF(ISNUMBER('Rebate Information (Chillers-A)'!M11),'Rebate Information (Chillers-A)'!M11,"")</f>
      </c>
      <c r="K15" s="330">
        <f>_xlfn.IFERROR(12/'Rebate Information (Chillers-A)'!J11*'Rebate Information (Chillers-A)'!H11*'Rebate Information (Chillers-A)'!M11,"")</f>
      </c>
      <c r="L15" s="337">
        <f>_xlfn.IFERROR(12/I15*'Rebate Information (Chillers-A)'!H11*F15*'Air Cooled Chillers Savings'!J15,"")</f>
      </c>
      <c r="M15" s="338">
        <f t="shared" si="0"/>
      </c>
      <c r="N15" s="339">
        <f t="shared" si="1"/>
      </c>
      <c r="O15" s="380">
        <f t="shared" si="2"/>
      </c>
    </row>
    <row r="16" spans="1:15" ht="24" customHeight="1">
      <c r="A16" s="508">
        <f>'Rebate Information (Chillers-A)'!C12</f>
        <v>0</v>
      </c>
      <c r="B16" s="329">
        <f>'Rebate Information (Chillers-A)'!K12</f>
      </c>
      <c r="C16" s="329">
        <f>'Rebate Information (Chillers-A)'!D12</f>
        <v>0</v>
      </c>
      <c r="D16" s="378">
        <f>_xlfn.IFERROR(12/'Rebate Information (Chillers-A)'!C12*'Rebate Information (Chillers-A)'!B12*'Rebate Information (Chillers-A)'!D12,"")</f>
      </c>
      <c r="E16" s="518">
        <f>_xlfn.IFERROR(12/B16*'Rebate Information (Chillers-A)'!B12*'Air Cooled Chillers Savings'!F16*C16,"")</f>
      </c>
      <c r="F16" s="527">
        <f>_xlfn.IFERROR('Rebate Information (Chillers-A)'!O12,"")</f>
        <v>0</v>
      </c>
      <c r="G16" s="509" t="str">
        <f>CONCATENATE('Rebate Information (Chillers-A)'!G12," ",'Rebate Information (Chillers-A)'!F12)</f>
        <v> </v>
      </c>
      <c r="H16" s="335">
        <f>IF(ISNUMBER('Rebate Information (Chillers-A)'!J12),'Rebate Information (Chillers-A)'!J12,"")</f>
      </c>
      <c r="I16" s="335">
        <f>'Rebate Information (Chillers-A)'!L12</f>
        <v>0</v>
      </c>
      <c r="J16" s="336">
        <f>IF(ISNUMBER('Rebate Information (Chillers-A)'!M12),'Rebate Information (Chillers-A)'!M12,"")</f>
      </c>
      <c r="K16" s="330">
        <f>_xlfn.IFERROR(12/'Rebate Information (Chillers-A)'!J12*'Rebate Information (Chillers-A)'!H12*'Rebate Information (Chillers-A)'!M12,"")</f>
      </c>
      <c r="L16" s="337">
        <f>_xlfn.IFERROR(12/I16*'Rebate Information (Chillers-A)'!H12*F16*'Air Cooled Chillers Savings'!J16,"")</f>
      </c>
      <c r="M16" s="338">
        <f t="shared" si="0"/>
      </c>
      <c r="N16" s="339">
        <f t="shared" si="1"/>
      </c>
      <c r="O16" s="380">
        <f t="shared" si="2"/>
      </c>
    </row>
    <row r="17" spans="1:15" ht="24" customHeight="1">
      <c r="A17" s="508">
        <f>'Rebate Information (Chillers-A)'!C13</f>
        <v>0</v>
      </c>
      <c r="B17" s="329">
        <f>'Rebate Information (Chillers-A)'!K13</f>
      </c>
      <c r="C17" s="329">
        <f>'Rebate Information (Chillers-A)'!D13</f>
        <v>0</v>
      </c>
      <c r="D17" s="378">
        <f>_xlfn.IFERROR(12/'Rebate Information (Chillers-A)'!C13*'Rebate Information (Chillers-A)'!B13*'Rebate Information (Chillers-A)'!D13,"")</f>
      </c>
      <c r="E17" s="518">
        <f>_xlfn.IFERROR(12/B17*'Rebate Information (Chillers-A)'!B13*'Air Cooled Chillers Savings'!F17*C17,"")</f>
      </c>
      <c r="F17" s="527">
        <f>_xlfn.IFERROR('Rebate Information (Chillers-A)'!O13,"")</f>
        <v>0</v>
      </c>
      <c r="G17" s="509" t="str">
        <f>CONCATENATE('Rebate Information (Chillers-A)'!G13," ",'Rebate Information (Chillers-A)'!F13)</f>
        <v> </v>
      </c>
      <c r="H17" s="335">
        <f>IF(ISNUMBER('Rebate Information (Chillers-A)'!J13),'Rebate Information (Chillers-A)'!J13,"")</f>
      </c>
      <c r="I17" s="335">
        <f>'Rebate Information (Chillers-A)'!L13</f>
        <v>0</v>
      </c>
      <c r="J17" s="336">
        <f>IF(ISNUMBER('Rebate Information (Chillers-A)'!M13),'Rebate Information (Chillers-A)'!M13,"")</f>
      </c>
      <c r="K17" s="330">
        <f>_xlfn.IFERROR(12/'Rebate Information (Chillers-A)'!J13*'Rebate Information (Chillers-A)'!H13*'Rebate Information (Chillers-A)'!M13,"")</f>
      </c>
      <c r="L17" s="337">
        <f>_xlfn.IFERROR(12/I17*'Rebate Information (Chillers-A)'!H13*F17*'Air Cooled Chillers Savings'!J17,"")</f>
      </c>
      <c r="M17" s="338">
        <f t="shared" si="0"/>
      </c>
      <c r="N17" s="339">
        <f t="shared" si="1"/>
      </c>
      <c r="O17" s="380">
        <f t="shared" si="2"/>
      </c>
    </row>
    <row r="18" spans="1:15" ht="24" customHeight="1">
      <c r="A18" s="508">
        <f>'Rebate Information (Chillers-A)'!C14</f>
        <v>0</v>
      </c>
      <c r="B18" s="329">
        <f>'Rebate Information (Chillers-A)'!K14</f>
      </c>
      <c r="C18" s="329">
        <f>'Rebate Information (Chillers-A)'!D14</f>
        <v>0</v>
      </c>
      <c r="D18" s="378">
        <f>_xlfn.IFERROR(12/'Rebate Information (Chillers-A)'!C14*'Rebate Information (Chillers-A)'!B14*'Rebate Information (Chillers-A)'!D14,"")</f>
      </c>
      <c r="E18" s="518">
        <f>_xlfn.IFERROR(12/B18*'Rebate Information (Chillers-A)'!B14*'Air Cooled Chillers Savings'!F18*C18,"")</f>
      </c>
      <c r="F18" s="527">
        <f>_xlfn.IFERROR('Rebate Information (Chillers-A)'!O14,"")</f>
        <v>0</v>
      </c>
      <c r="G18" s="509" t="str">
        <f>CONCATENATE('Rebate Information (Chillers-A)'!G14," ",'Rebate Information (Chillers-A)'!F14)</f>
        <v> </v>
      </c>
      <c r="H18" s="335">
        <f>IF(ISNUMBER('Rebate Information (Chillers-A)'!J14),'Rebate Information (Chillers-A)'!J14,"")</f>
      </c>
      <c r="I18" s="335">
        <f>'Rebate Information (Chillers-A)'!L14</f>
        <v>0</v>
      </c>
      <c r="J18" s="336">
        <f>IF(ISNUMBER('Rebate Information (Chillers-A)'!M14),'Rebate Information (Chillers-A)'!M14,"")</f>
      </c>
      <c r="K18" s="330">
        <f>_xlfn.IFERROR(12/'Rebate Information (Chillers-A)'!J14*'Rebate Information (Chillers-A)'!H14*'Rebate Information (Chillers-A)'!M14,"")</f>
      </c>
      <c r="L18" s="337">
        <f>_xlfn.IFERROR(12/I18*'Rebate Information (Chillers-A)'!H14*F18*'Air Cooled Chillers Savings'!J18,"")</f>
      </c>
      <c r="M18" s="338">
        <f t="shared" si="0"/>
      </c>
      <c r="N18" s="339">
        <f t="shared" si="1"/>
      </c>
      <c r="O18" s="380">
        <f t="shared" si="2"/>
      </c>
    </row>
    <row r="19" spans="1:15" ht="24" customHeight="1">
      <c r="A19" s="508">
        <f>'Rebate Information (Chillers-A)'!C15</f>
        <v>0</v>
      </c>
      <c r="B19" s="329">
        <f>'Rebate Information (Chillers-A)'!K15</f>
      </c>
      <c r="C19" s="329">
        <f>'Rebate Information (Chillers-A)'!D15</f>
        <v>0</v>
      </c>
      <c r="D19" s="378">
        <f>_xlfn.IFERROR(12/'Rebate Information (Chillers-A)'!C15*'Rebate Information (Chillers-A)'!B15*'Rebate Information (Chillers-A)'!D15,"")</f>
      </c>
      <c r="E19" s="518">
        <f>_xlfn.IFERROR(12/B19*'Rebate Information (Chillers-A)'!B15*'Air Cooled Chillers Savings'!F19*C19,"")</f>
      </c>
      <c r="F19" s="527">
        <f>_xlfn.IFERROR('Rebate Information (Chillers-A)'!O15,"")</f>
        <v>0</v>
      </c>
      <c r="G19" s="509" t="str">
        <f>CONCATENATE('Rebate Information (Chillers-A)'!G15," ",'Rebate Information (Chillers-A)'!F15)</f>
        <v> </v>
      </c>
      <c r="H19" s="335">
        <f>IF(ISNUMBER('Rebate Information (Chillers-A)'!J15),'Rebate Information (Chillers-A)'!J15,"")</f>
      </c>
      <c r="I19" s="335">
        <f>'Rebate Information (Chillers-A)'!L15</f>
        <v>0</v>
      </c>
      <c r="J19" s="336">
        <f>IF(ISNUMBER('Rebate Information (Chillers-A)'!M15),'Rebate Information (Chillers-A)'!M15,"")</f>
      </c>
      <c r="K19" s="330">
        <f>_xlfn.IFERROR(12/'Rebate Information (Chillers-A)'!J15*'Rebate Information (Chillers-A)'!H15*'Rebate Information (Chillers-A)'!M15,"")</f>
      </c>
      <c r="L19" s="337">
        <f>_xlfn.IFERROR(12/I19*'Rebate Information (Chillers-A)'!H15*F19*'Air Cooled Chillers Savings'!J19,"")</f>
      </c>
      <c r="M19" s="338">
        <f t="shared" si="0"/>
      </c>
      <c r="N19" s="339">
        <f t="shared" si="1"/>
      </c>
      <c r="O19" s="380">
        <f t="shared" si="2"/>
      </c>
    </row>
    <row r="20" spans="1:15" ht="24" customHeight="1">
      <c r="A20" s="508">
        <f>'Rebate Information (Chillers-A)'!C16</f>
        <v>0</v>
      </c>
      <c r="B20" s="329">
        <f>'Rebate Information (Chillers-A)'!K16</f>
      </c>
      <c r="C20" s="329">
        <f>'Rebate Information (Chillers-A)'!D16</f>
        <v>0</v>
      </c>
      <c r="D20" s="378">
        <f>_xlfn.IFERROR(12/'Rebate Information (Chillers-A)'!C16*'Rebate Information (Chillers-A)'!B16*'Rebate Information (Chillers-A)'!D16,"")</f>
      </c>
      <c r="E20" s="518">
        <f>_xlfn.IFERROR(12/B20*'Rebate Information (Chillers-A)'!B16*'Air Cooled Chillers Savings'!F20*C20,"")</f>
      </c>
      <c r="F20" s="527">
        <f>_xlfn.IFERROR('Rebate Information (Chillers-A)'!O16,"")</f>
        <v>0</v>
      </c>
      <c r="G20" s="509" t="str">
        <f>CONCATENATE('Rebate Information (Chillers-A)'!G16," ",'Rebate Information (Chillers-A)'!F16)</f>
        <v> </v>
      </c>
      <c r="H20" s="335">
        <f>IF(ISNUMBER('Rebate Information (Chillers-A)'!J16),'Rebate Information (Chillers-A)'!J16,"")</f>
      </c>
      <c r="I20" s="335">
        <f>'Rebate Information (Chillers-A)'!L16</f>
        <v>0</v>
      </c>
      <c r="J20" s="336">
        <f>IF(ISNUMBER('Rebate Information (Chillers-A)'!M16),'Rebate Information (Chillers-A)'!M16,"")</f>
      </c>
      <c r="K20" s="330">
        <f>_xlfn.IFERROR(12/'Rebate Information (Chillers-A)'!J16*'Rebate Information (Chillers-A)'!H16*'Rebate Information (Chillers-A)'!M16,"")</f>
      </c>
      <c r="L20" s="337">
        <f>_xlfn.IFERROR(12/I20*'Rebate Information (Chillers-A)'!H16*F20*'Air Cooled Chillers Savings'!J20,"")</f>
      </c>
      <c r="M20" s="338">
        <f t="shared" si="0"/>
      </c>
      <c r="N20" s="339">
        <f t="shared" si="1"/>
      </c>
      <c r="O20" s="380">
        <f t="shared" si="2"/>
      </c>
    </row>
    <row r="21" spans="1:15" ht="24" customHeight="1">
      <c r="A21" s="508">
        <f>'Rebate Information (Chillers-A)'!C17</f>
        <v>0</v>
      </c>
      <c r="B21" s="329">
        <f>'Rebate Information (Chillers-A)'!K17</f>
      </c>
      <c r="C21" s="329">
        <f>'Rebate Information (Chillers-A)'!D17</f>
        <v>0</v>
      </c>
      <c r="D21" s="378">
        <f>_xlfn.IFERROR(12/'Rebate Information (Chillers-A)'!C17*'Rebate Information (Chillers-A)'!B17*'Rebate Information (Chillers-A)'!D17,"")</f>
      </c>
      <c r="E21" s="518">
        <f>_xlfn.IFERROR(12/B21*'Rebate Information (Chillers-A)'!B17*'Air Cooled Chillers Savings'!F21*C21,"")</f>
      </c>
      <c r="F21" s="527">
        <f>_xlfn.IFERROR('Rebate Information (Chillers-A)'!O17,"")</f>
        <v>0</v>
      </c>
      <c r="G21" s="509" t="str">
        <f>CONCATENATE('Rebate Information (Chillers-A)'!G17," ",'Rebate Information (Chillers-A)'!F17)</f>
        <v> </v>
      </c>
      <c r="H21" s="335">
        <f>IF(ISNUMBER('Rebate Information (Chillers-A)'!J17),'Rebate Information (Chillers-A)'!J17,"")</f>
      </c>
      <c r="I21" s="335">
        <f>'Rebate Information (Chillers-A)'!L17</f>
        <v>0</v>
      </c>
      <c r="J21" s="336">
        <f>IF(ISNUMBER('Rebate Information (Chillers-A)'!M17),'Rebate Information (Chillers-A)'!M17,"")</f>
      </c>
      <c r="K21" s="330">
        <f>_xlfn.IFERROR(12/'Rebate Information (Chillers-A)'!J17*'Rebate Information (Chillers-A)'!H17*'Rebate Information (Chillers-A)'!M17,"")</f>
      </c>
      <c r="L21" s="337">
        <f>_xlfn.IFERROR(12/I21*'Rebate Information (Chillers-A)'!H17*F21*'Air Cooled Chillers Savings'!J21,"")</f>
      </c>
      <c r="M21" s="338">
        <f t="shared" si="0"/>
      </c>
      <c r="N21" s="339">
        <f t="shared" si="1"/>
      </c>
      <c r="O21" s="380">
        <f t="shared" si="2"/>
      </c>
    </row>
    <row r="22" spans="1:15" ht="24" customHeight="1" thickBot="1">
      <c r="A22" s="522">
        <f>'Rebate Information (Chillers-A)'!C18</f>
        <v>0</v>
      </c>
      <c r="B22" s="523">
        <f>'Rebate Information (Chillers-A)'!K18</f>
      </c>
      <c r="C22" s="523">
        <f>'Rebate Information (Chillers-A)'!D18</f>
        <v>0</v>
      </c>
      <c r="D22" s="524">
        <f>_xlfn.IFERROR(12/'Rebate Information (Chillers-A)'!C18*'Rebate Information (Chillers-A)'!B18*'Rebate Information (Chillers-A)'!D18,"")</f>
      </c>
      <c r="E22" s="525">
        <f>_xlfn.IFERROR(12/B22*'Rebate Information (Chillers-A)'!B18*'Air Cooled Chillers Savings'!F22*C22,"")</f>
      </c>
      <c r="F22" s="537">
        <f>_xlfn.IFERROR('Rebate Information (Chillers-A)'!O18,"")</f>
        <v>0</v>
      </c>
      <c r="G22" s="529" t="str">
        <f>CONCATENATE('Rebate Information (Chillers-A)'!G18," ",'Rebate Information (Chillers-A)'!F18)</f>
        <v> </v>
      </c>
      <c r="H22" s="530">
        <f>IF(ISNUMBER('Rebate Information (Chillers-A)'!J18),'Rebate Information (Chillers-A)'!J18,"")</f>
      </c>
      <c r="I22" s="530">
        <f>'Rebate Information (Chillers-A)'!L18</f>
        <v>0</v>
      </c>
      <c r="J22" s="531">
        <f>IF(ISNUMBER('Rebate Information (Chillers-A)'!M18),'Rebate Information (Chillers-A)'!M18,"")</f>
      </c>
      <c r="K22" s="532">
        <f>_xlfn.IFERROR(12/'Rebate Information (Chillers-A)'!J18*'Rebate Information (Chillers-A)'!H18*'Rebate Information (Chillers-A)'!M18,"")</f>
      </c>
      <c r="L22" s="533">
        <f>_xlfn.IFERROR(12/I22*'Rebate Information (Chillers-A)'!H18*F22*'Air Cooled Chillers Savings'!J22,"")</f>
      </c>
      <c r="M22" s="538">
        <f t="shared" si="0"/>
      </c>
      <c r="N22" s="539">
        <f t="shared" si="1"/>
      </c>
      <c r="O22" s="540">
        <f t="shared" si="2"/>
      </c>
    </row>
    <row r="23" ht="8.25" customHeight="1" thickBot="1"/>
    <row r="24" spans="1:10" ht="21" customHeight="1" thickBot="1">
      <c r="A24" s="458" t="s">
        <v>237</v>
      </c>
      <c r="B24" s="459"/>
      <c r="C24" s="460" t="s">
        <v>243</v>
      </c>
      <c r="D24" s="461" t="s">
        <v>103</v>
      </c>
      <c r="F24" s="469" t="s">
        <v>16</v>
      </c>
      <c r="G24" s="470"/>
      <c r="H24" s="470"/>
      <c r="I24" s="471" t="s">
        <v>243</v>
      </c>
      <c r="J24" s="472" t="s">
        <v>103</v>
      </c>
    </row>
    <row r="25" spans="1:10" ht="21" customHeight="1">
      <c r="A25" s="462"/>
      <c r="B25" s="463" t="s">
        <v>577</v>
      </c>
      <c r="C25" s="344">
        <f>SUM(D13:D22)</f>
        <v>0</v>
      </c>
      <c r="D25" s="464">
        <f>SUM(E13:E22)</f>
        <v>0</v>
      </c>
      <c r="F25" s="473"/>
      <c r="G25" s="474"/>
      <c r="H25" s="475" t="s">
        <v>577</v>
      </c>
      <c r="I25" s="345">
        <f>SUM(K13:K22)</f>
        <v>0</v>
      </c>
      <c r="J25" s="476">
        <f>SUM(L13:L22)</f>
        <v>0</v>
      </c>
    </row>
    <row r="26" spans="1:10" ht="21" customHeight="1" thickBot="1">
      <c r="A26" s="465"/>
      <c r="B26" s="466" t="s">
        <v>578</v>
      </c>
      <c r="C26" s="467"/>
      <c r="D26" s="468">
        <f>D25*$L$3</f>
        <v>0</v>
      </c>
      <c r="E26" s="457"/>
      <c r="F26" s="477"/>
      <c r="G26" s="346"/>
      <c r="H26" s="478" t="s">
        <v>579</v>
      </c>
      <c r="I26" s="479"/>
      <c r="J26" s="480">
        <f>J25*$L$3</f>
        <v>0</v>
      </c>
    </row>
    <row r="27" ht="13.5" thickBot="1">
      <c r="E27" s="88"/>
    </row>
    <row r="28" spans="5:10" ht="21" customHeight="1" thickBot="1">
      <c r="E28" s="88"/>
      <c r="F28" s="481" t="s">
        <v>101</v>
      </c>
      <c r="G28" s="482"/>
      <c r="H28" s="482"/>
      <c r="I28" s="483" t="s">
        <v>243</v>
      </c>
      <c r="J28" s="484" t="s">
        <v>103</v>
      </c>
    </row>
    <row r="29" spans="6:10" ht="21" customHeight="1">
      <c r="F29" s="485"/>
      <c r="G29" s="486"/>
      <c r="H29" s="487" t="s">
        <v>580</v>
      </c>
      <c r="I29" s="357">
        <f>C25-I25</f>
        <v>0</v>
      </c>
      <c r="J29" s="534">
        <f>D25-J25</f>
        <v>0</v>
      </c>
    </row>
    <row r="30" spans="6:10" ht="21" customHeight="1" thickBot="1">
      <c r="F30" s="489"/>
      <c r="G30" s="348"/>
      <c r="H30" s="490" t="s">
        <v>581</v>
      </c>
      <c r="I30" s="347"/>
      <c r="J30" s="491">
        <f>D26-J26</f>
        <v>0</v>
      </c>
    </row>
    <row r="31" ht="23.25" customHeight="1"/>
  </sheetData>
  <sheetProtection sheet="1" objects="1" scenarios="1" selectLockedCells="1"/>
  <mergeCells count="6">
    <mergeCell ref="A1:O1"/>
    <mergeCell ref="A6:O6"/>
    <mergeCell ref="B7:H7"/>
    <mergeCell ref="M8:O8"/>
    <mergeCell ref="G8:L8"/>
    <mergeCell ref="A8:E8"/>
  </mergeCells>
  <conditionalFormatting sqref="G11 O11 K13:K22 A11:D22 E13:E22 F11:F22 G13:G22 N12:O22">
    <cfRule type="cellIs" priority="1" dxfId="0" operator="equal" stopIfTrue="1">
      <formula>0</formula>
    </cfRule>
  </conditionalFormatting>
  <printOptions horizontalCentered="1"/>
  <pageMargins left="0.2" right="0.2" top="0.31" bottom="0.75" header="0.3" footer="0.3"/>
  <pageSetup fitToHeight="1" fitToWidth="1" horizontalDpi="600" verticalDpi="600" orientation="landscape"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RPU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mjzamz</dc:creator>
  <cp:keywords/>
  <dc:description/>
  <cp:lastModifiedBy>Dru Larson</cp:lastModifiedBy>
  <cp:lastPrinted>2015-01-14T22:36:11Z</cp:lastPrinted>
  <dcterms:created xsi:type="dcterms:W3CDTF">2007-02-23T16:27:57Z</dcterms:created>
  <dcterms:modified xsi:type="dcterms:W3CDTF">2015-01-15T20:09:59Z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